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 2014\INTERNET\"/>
    </mc:Choice>
  </mc:AlternateContent>
  <bookViews>
    <workbookView xWindow="0" yWindow="120" windowWidth="15195" windowHeight="9855"/>
  </bookViews>
  <sheets>
    <sheet name="VHČ 2014 (v tis.Kč)" sheetId="3" r:id="rId1"/>
    <sheet name="VHČ 2014 (v Kč)" sheetId="4" state="hidden" r:id="rId2"/>
    <sheet name="VHČ MMB" sheetId="5" state="hidden" r:id="rId3"/>
  </sheets>
  <definedNames>
    <definedName name="_xlnm.Print_Titles" localSheetId="1">'VHČ 2014 (v Kč)'!$A:$C</definedName>
    <definedName name="_xlnm.Print_Titles" localSheetId="0">'VHČ 2014 (v tis.Kč)'!$A:$C</definedName>
    <definedName name="_xlnm.Print_Titles" localSheetId="2">'VHČ MMB'!$A:$C</definedName>
    <definedName name="_xlnm.Print_Area" localSheetId="1">'VHČ 2014 (v Kč)'!$A$1:$AC$32</definedName>
    <definedName name="_xlnm.Print_Area" localSheetId="0">'VHČ 2014 (v tis.Kč)'!$A$1:$AC$31</definedName>
    <definedName name="_xlnm.Print_Area" localSheetId="2">'VHČ MMB'!$A$1:$AC$31</definedName>
  </definedNames>
  <calcPr calcId="152511"/>
</workbook>
</file>

<file path=xl/calcChain.xml><?xml version="1.0" encoding="utf-8"?>
<calcChain xmlns="http://schemas.openxmlformats.org/spreadsheetml/2006/main">
  <c r="AC31" i="5" l="1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 s="1"/>
  <c r="D31" i="5" s="1"/>
  <c r="F31" i="5"/>
  <c r="E31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G29" i="5" s="1"/>
  <c r="I29" i="5"/>
  <c r="H29" i="5"/>
  <c r="F29" i="5"/>
  <c r="E29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G24" i="5" s="1"/>
  <c r="I24" i="5"/>
  <c r="H24" i="5"/>
  <c r="F24" i="5"/>
  <c r="E24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 s="1"/>
  <c r="F19" i="5"/>
  <c r="E19" i="5"/>
  <c r="D19" i="5" s="1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 s="1"/>
  <c r="D17" i="5" s="1"/>
  <c r="E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G16" i="5" s="1"/>
  <c r="H16" i="5"/>
  <c r="F16" i="5"/>
  <c r="E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 s="1"/>
  <c r="D15" i="5" s="1"/>
  <c r="F15" i="5"/>
  <c r="E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E14" i="5"/>
  <c r="AC13" i="5"/>
  <c r="AB13" i="5"/>
  <c r="AA13" i="5"/>
  <c r="Z13" i="5"/>
  <c r="Z20" i="5" s="1"/>
  <c r="Y13" i="5"/>
  <c r="X13" i="5"/>
  <c r="W13" i="5"/>
  <c r="V13" i="5"/>
  <c r="V20" i="5" s="1"/>
  <c r="U13" i="5"/>
  <c r="T13" i="5"/>
  <c r="S13" i="5"/>
  <c r="R13" i="5"/>
  <c r="R20" i="5" s="1"/>
  <c r="Q13" i="5"/>
  <c r="P13" i="5"/>
  <c r="O13" i="5"/>
  <c r="N13" i="5"/>
  <c r="N20" i="5" s="1"/>
  <c r="M13" i="5"/>
  <c r="L13" i="5"/>
  <c r="K13" i="5"/>
  <c r="J13" i="5"/>
  <c r="J20" i="5" s="1"/>
  <c r="I13" i="5"/>
  <c r="H13" i="5"/>
  <c r="F13" i="5"/>
  <c r="E13" i="5"/>
  <c r="AC10" i="5"/>
  <c r="AB10" i="5"/>
  <c r="Y10" i="5"/>
  <c r="U10" i="5"/>
  <c r="T10" i="5"/>
  <c r="Q10" i="5"/>
  <c r="M10" i="5"/>
  <c r="L10" i="5"/>
  <c r="I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G9" i="5" s="1"/>
  <c r="I9" i="5"/>
  <c r="H9" i="5"/>
  <c r="F9" i="5"/>
  <c r="E9" i="5"/>
  <c r="AC8" i="5"/>
  <c r="AB8" i="5"/>
  <c r="AA8" i="5"/>
  <c r="Z8" i="5"/>
  <c r="Y8" i="5"/>
  <c r="X8" i="5"/>
  <c r="X10" i="5" s="1"/>
  <c r="W8" i="5"/>
  <c r="V8" i="5"/>
  <c r="U8" i="5"/>
  <c r="T8" i="5"/>
  <c r="S8" i="5"/>
  <c r="R8" i="5"/>
  <c r="Q8" i="5"/>
  <c r="P8" i="5"/>
  <c r="P10" i="5" s="1"/>
  <c r="O8" i="5"/>
  <c r="N8" i="5"/>
  <c r="M8" i="5"/>
  <c r="L8" i="5"/>
  <c r="K8" i="5"/>
  <c r="J8" i="5"/>
  <c r="I8" i="5"/>
  <c r="H8" i="5"/>
  <c r="G8" i="5" s="1"/>
  <c r="E8" i="5"/>
  <c r="D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E7" i="5"/>
  <c r="D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E6" i="5"/>
  <c r="E10" i="5" s="1"/>
  <c r="AC5" i="5"/>
  <c r="AB5" i="5"/>
  <c r="AA5" i="5"/>
  <c r="AA10" i="5" s="1"/>
  <c r="Z5" i="5"/>
  <c r="Z10" i="5" s="1"/>
  <c r="Y5" i="5"/>
  <c r="X5" i="5"/>
  <c r="W5" i="5"/>
  <c r="W10" i="5" s="1"/>
  <c r="V5" i="5"/>
  <c r="V10" i="5" s="1"/>
  <c r="U5" i="5"/>
  <c r="T5" i="5"/>
  <c r="S5" i="5"/>
  <c r="S10" i="5" s="1"/>
  <c r="R5" i="5"/>
  <c r="R10" i="5" s="1"/>
  <c r="Q5" i="5"/>
  <c r="P5" i="5"/>
  <c r="O5" i="5"/>
  <c r="O10" i="5" s="1"/>
  <c r="N5" i="5"/>
  <c r="N10" i="5" s="1"/>
  <c r="M5" i="5"/>
  <c r="L5" i="5"/>
  <c r="K5" i="5"/>
  <c r="K10" i="5" s="1"/>
  <c r="J5" i="5"/>
  <c r="J10" i="5" s="1"/>
  <c r="I5" i="5"/>
  <c r="H5" i="5"/>
  <c r="F5" i="5"/>
  <c r="E5" i="5"/>
  <c r="X22" i="5" l="1"/>
  <c r="X26" i="5" s="1"/>
  <c r="L22" i="5"/>
  <c r="L26" i="5" s="1"/>
  <c r="F10" i="5"/>
  <c r="D5" i="5"/>
  <c r="J22" i="5"/>
  <c r="J26" i="5" s="1"/>
  <c r="N22" i="5"/>
  <c r="N26" i="5" s="1"/>
  <c r="R22" i="5"/>
  <c r="R26" i="5" s="1"/>
  <c r="V22" i="5"/>
  <c r="V26" i="5" s="1"/>
  <c r="Z22" i="5"/>
  <c r="Z26" i="5" s="1"/>
  <c r="F20" i="5"/>
  <c r="G5" i="5"/>
  <c r="K22" i="5"/>
  <c r="K26" i="5" s="1"/>
  <c r="O22" i="5"/>
  <c r="O26" i="5" s="1"/>
  <c r="S22" i="5"/>
  <c r="S26" i="5" s="1"/>
  <c r="AA22" i="5"/>
  <c r="AA26" i="5" s="1"/>
  <c r="D9" i="5"/>
  <c r="G13" i="5"/>
  <c r="G20" i="5" s="1"/>
  <c r="K20" i="5"/>
  <c r="O20" i="5"/>
  <c r="S20" i="5"/>
  <c r="W20" i="5"/>
  <c r="W22" i="5" s="1"/>
  <c r="W26" i="5" s="1"/>
  <c r="AA20" i="5"/>
  <c r="M22" i="5"/>
  <c r="M26" i="5" s="1"/>
  <c r="AC22" i="5"/>
  <c r="AC26" i="5" s="1"/>
  <c r="H20" i="5"/>
  <c r="L20" i="5"/>
  <c r="P20" i="5"/>
  <c r="P22" i="5" s="1"/>
  <c r="P26" i="5" s="1"/>
  <c r="T20" i="5"/>
  <c r="T22" i="5" s="1"/>
  <c r="T26" i="5" s="1"/>
  <c r="X20" i="5"/>
  <c r="AB20" i="5"/>
  <c r="AB22" i="5" s="1"/>
  <c r="AB26" i="5" s="1"/>
  <c r="D16" i="5"/>
  <c r="D29" i="5"/>
  <c r="G6" i="5"/>
  <c r="D6" i="5" s="1"/>
  <c r="H10" i="5"/>
  <c r="H22" i="5" s="1"/>
  <c r="H26" i="5" s="1"/>
  <c r="E20" i="5"/>
  <c r="E22" i="5" s="1"/>
  <c r="E26" i="5" s="1"/>
  <c r="I20" i="5"/>
  <c r="I22" i="5" s="1"/>
  <c r="I26" i="5" s="1"/>
  <c r="M20" i="5"/>
  <c r="Q20" i="5"/>
  <c r="Q22" i="5" s="1"/>
  <c r="Q26" i="5" s="1"/>
  <c r="U20" i="5"/>
  <c r="U22" i="5" s="1"/>
  <c r="U26" i="5" s="1"/>
  <c r="Y20" i="5"/>
  <c r="Y22" i="5" s="1"/>
  <c r="Y26" i="5" s="1"/>
  <c r="AC20" i="5"/>
  <c r="G14" i="5"/>
  <c r="D14" i="5" s="1"/>
  <c r="D18" i="5"/>
  <c r="D24" i="5"/>
  <c r="F19" i="3"/>
  <c r="F24" i="3"/>
  <c r="AB19" i="3"/>
  <c r="Y15" i="3"/>
  <c r="X15" i="3"/>
  <c r="D13" i="5" l="1"/>
  <c r="D20" i="5" s="1"/>
  <c r="D10" i="5"/>
  <c r="D22" i="5" s="1"/>
  <c r="D26" i="5" s="1"/>
  <c r="G10" i="5"/>
  <c r="G22" i="5" s="1"/>
  <c r="G26" i="5" s="1"/>
  <c r="F22" i="5"/>
  <c r="F26" i="5" s="1"/>
  <c r="Y31" i="3"/>
  <c r="G31" i="3"/>
  <c r="U33" i="4" l="1"/>
  <c r="N18" i="3" l="1"/>
  <c r="U18" i="4"/>
  <c r="AC18" i="4" l="1"/>
  <c r="AB18" i="4"/>
  <c r="AA18" i="4"/>
  <c r="Y18" i="4"/>
  <c r="W18" i="4"/>
  <c r="V18" i="4"/>
  <c r="T18" i="4"/>
  <c r="R18" i="4"/>
  <c r="Q18" i="4"/>
  <c r="O18" i="4"/>
  <c r="N18" i="4"/>
  <c r="L18" i="4"/>
  <c r="I19" i="4"/>
  <c r="J19" i="4"/>
  <c r="K19" i="4"/>
  <c r="K18" i="4"/>
  <c r="J18" i="4"/>
  <c r="I18" i="4"/>
  <c r="H18" i="4"/>
  <c r="E19" i="4"/>
  <c r="E18" i="4"/>
  <c r="F19" i="4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Z31" i="3"/>
  <c r="AA31" i="3"/>
  <c r="AB31" i="3"/>
  <c r="AC31" i="3"/>
  <c r="H31" i="3"/>
  <c r="F31" i="3"/>
  <c r="E31" i="3"/>
  <c r="G33" i="4"/>
  <c r="D33" i="4" s="1"/>
  <c r="D31" i="3" l="1"/>
  <c r="W24" i="3"/>
  <c r="X9" i="3"/>
  <c r="X8" i="3"/>
  <c r="S6" i="3"/>
  <c r="AC6" i="3"/>
  <c r="Z6" i="3"/>
  <c r="U8" i="3"/>
  <c r="P6" i="3"/>
  <c r="N9" i="3"/>
  <c r="H9" i="3"/>
  <c r="Z29" i="3"/>
  <c r="Z19" i="3" l="1"/>
  <c r="Z18" i="3"/>
  <c r="Z17" i="3"/>
  <c r="Z16" i="3"/>
  <c r="Z15" i="3"/>
  <c r="Z14" i="3"/>
  <c r="Z13" i="3"/>
  <c r="X14" i="3"/>
  <c r="Y14" i="3"/>
  <c r="AA14" i="3"/>
  <c r="AB14" i="3"/>
  <c r="AC14" i="3"/>
  <c r="AA15" i="3"/>
  <c r="AB15" i="3"/>
  <c r="AC15" i="3"/>
  <c r="X16" i="3"/>
  <c r="Y16" i="3"/>
  <c r="AA16" i="3"/>
  <c r="AB16" i="3"/>
  <c r="AC16" i="3"/>
  <c r="X17" i="3"/>
  <c r="Y17" i="3"/>
  <c r="AA17" i="3"/>
  <c r="AB17" i="3"/>
  <c r="AC17" i="3"/>
  <c r="X18" i="3"/>
  <c r="Y18" i="3"/>
  <c r="AA18" i="3"/>
  <c r="AB18" i="3"/>
  <c r="AC18" i="3"/>
  <c r="X19" i="3"/>
  <c r="E5" i="3"/>
  <c r="Q18" i="3"/>
  <c r="Q17" i="3"/>
  <c r="Q16" i="3"/>
  <c r="Q15" i="3"/>
  <c r="Q14" i="3"/>
  <c r="Q13" i="3"/>
  <c r="X5" i="3"/>
  <c r="Y5" i="3"/>
  <c r="Z5" i="3"/>
  <c r="AA5" i="3"/>
  <c r="AB5" i="3"/>
  <c r="AC5" i="3"/>
  <c r="X6" i="3"/>
  <c r="Y6" i="3"/>
  <c r="AA6" i="3"/>
  <c r="AB6" i="3"/>
  <c r="X7" i="3"/>
  <c r="Y7" i="3"/>
  <c r="Z7" i="3"/>
  <c r="AA7" i="3"/>
  <c r="AB7" i="3"/>
  <c r="AC7" i="3"/>
  <c r="Y8" i="3"/>
  <c r="Z8" i="3"/>
  <c r="AA8" i="3"/>
  <c r="AB8" i="3"/>
  <c r="AC8" i="3"/>
  <c r="Q5" i="3"/>
  <c r="R5" i="3"/>
  <c r="S5" i="3"/>
  <c r="T5" i="3"/>
  <c r="U5" i="3"/>
  <c r="V5" i="3"/>
  <c r="W5" i="3"/>
  <c r="Q6" i="3"/>
  <c r="R6" i="3"/>
  <c r="T6" i="3"/>
  <c r="U6" i="3"/>
  <c r="V6" i="3"/>
  <c r="W6" i="3"/>
  <c r="Q7" i="3"/>
  <c r="R7" i="3"/>
  <c r="S7" i="3"/>
  <c r="T7" i="3"/>
  <c r="U7" i="3"/>
  <c r="V7" i="3"/>
  <c r="W7" i="3"/>
  <c r="Q8" i="3"/>
  <c r="R8" i="3"/>
  <c r="S8" i="3"/>
  <c r="T8" i="3"/>
  <c r="V8" i="3"/>
  <c r="W8" i="3"/>
  <c r="J5" i="3"/>
  <c r="K5" i="3"/>
  <c r="L5" i="3"/>
  <c r="M5" i="3"/>
  <c r="N5" i="3"/>
  <c r="O5" i="3"/>
  <c r="P5" i="3"/>
  <c r="J6" i="3"/>
  <c r="K6" i="3"/>
  <c r="L6" i="3"/>
  <c r="M6" i="3"/>
  <c r="N6" i="3"/>
  <c r="O6" i="3"/>
  <c r="J7" i="3"/>
  <c r="K7" i="3"/>
  <c r="L7" i="3"/>
  <c r="M7" i="3"/>
  <c r="N7" i="3"/>
  <c r="O7" i="3"/>
  <c r="P7" i="3"/>
  <c r="J8" i="3"/>
  <c r="K8" i="3"/>
  <c r="L8" i="3"/>
  <c r="M8" i="3"/>
  <c r="N8" i="3"/>
  <c r="O8" i="3"/>
  <c r="P8" i="3"/>
  <c r="J9" i="3"/>
  <c r="I7" i="3"/>
  <c r="I8" i="3"/>
  <c r="I9" i="3"/>
  <c r="I5" i="3"/>
  <c r="H6" i="3"/>
  <c r="H7" i="3"/>
  <c r="H8" i="3"/>
  <c r="I14" i="3"/>
  <c r="I15" i="3"/>
  <c r="I16" i="3"/>
  <c r="I17" i="3"/>
  <c r="I18" i="3"/>
  <c r="R14" i="3"/>
  <c r="S14" i="3"/>
  <c r="T14" i="3"/>
  <c r="U14" i="3"/>
  <c r="V14" i="3"/>
  <c r="W14" i="3"/>
  <c r="R15" i="3"/>
  <c r="S15" i="3"/>
  <c r="T15" i="3"/>
  <c r="U15" i="3"/>
  <c r="V15" i="3"/>
  <c r="W15" i="3"/>
  <c r="R16" i="3"/>
  <c r="S16" i="3"/>
  <c r="T16" i="3"/>
  <c r="U16" i="3"/>
  <c r="V16" i="3"/>
  <c r="W16" i="3"/>
  <c r="R17" i="3"/>
  <c r="S17" i="3"/>
  <c r="T17" i="3"/>
  <c r="U17" i="3"/>
  <c r="V17" i="3"/>
  <c r="W17" i="3"/>
  <c r="R18" i="3"/>
  <c r="S18" i="3"/>
  <c r="T18" i="3"/>
  <c r="U18" i="3"/>
  <c r="V18" i="3"/>
  <c r="W18" i="3"/>
  <c r="S19" i="3"/>
  <c r="J14" i="3"/>
  <c r="K14" i="3"/>
  <c r="L14" i="3"/>
  <c r="M14" i="3"/>
  <c r="N14" i="3"/>
  <c r="O14" i="3"/>
  <c r="P14" i="3"/>
  <c r="J15" i="3"/>
  <c r="K15" i="3"/>
  <c r="L15" i="3"/>
  <c r="M15" i="3"/>
  <c r="N15" i="3"/>
  <c r="O15" i="3"/>
  <c r="P15" i="3"/>
  <c r="J16" i="3"/>
  <c r="K16" i="3"/>
  <c r="L16" i="3"/>
  <c r="M16" i="3"/>
  <c r="N16" i="3"/>
  <c r="O16" i="3"/>
  <c r="P16" i="3"/>
  <c r="J17" i="3"/>
  <c r="K17" i="3"/>
  <c r="L17" i="3"/>
  <c r="M17" i="3"/>
  <c r="N17" i="3"/>
  <c r="O17" i="3"/>
  <c r="P17" i="3"/>
  <c r="J18" i="3"/>
  <c r="K18" i="3"/>
  <c r="L18" i="3"/>
  <c r="M18" i="3"/>
  <c r="O18" i="3"/>
  <c r="P18" i="3"/>
  <c r="M19" i="3"/>
  <c r="P19" i="3"/>
  <c r="D14" i="4"/>
  <c r="D15" i="4"/>
  <c r="D16" i="4"/>
  <c r="D17" i="4"/>
  <c r="E16" i="3"/>
  <c r="E17" i="3"/>
  <c r="E18" i="3"/>
  <c r="E19" i="3"/>
  <c r="F16" i="4"/>
  <c r="F13" i="4"/>
  <c r="E13" i="4"/>
  <c r="F9" i="4"/>
  <c r="E9" i="4"/>
  <c r="E7" i="4"/>
  <c r="E5" i="4"/>
  <c r="J9" i="4" l="1"/>
  <c r="Z16" i="4"/>
  <c r="M20" i="4" l="1"/>
  <c r="S16" i="4"/>
  <c r="S13" i="4"/>
  <c r="P22" i="4"/>
  <c r="O13" i="4"/>
  <c r="N20" i="4"/>
  <c r="J16" i="4"/>
  <c r="J13" i="4"/>
  <c r="J20" i="4"/>
  <c r="K15" i="4"/>
  <c r="K16" i="4"/>
  <c r="L16" i="4"/>
  <c r="L13" i="4"/>
  <c r="W9" i="4"/>
  <c r="W15" i="4"/>
  <c r="V17" i="4"/>
  <c r="V16" i="4"/>
  <c r="V15" i="4"/>
  <c r="V14" i="4"/>
  <c r="V13" i="4"/>
  <c r="V20" i="4"/>
  <c r="V31" i="4"/>
  <c r="Y16" i="4"/>
  <c r="Y15" i="4"/>
  <c r="Y13" i="4"/>
  <c r="U6" i="4"/>
  <c r="U10" i="4"/>
  <c r="U24" i="4"/>
  <c r="U16" i="4"/>
  <c r="U15" i="4"/>
  <c r="U14" i="4"/>
  <c r="U13" i="4"/>
  <c r="U20" i="4"/>
  <c r="U31" i="4"/>
  <c r="U32" i="4"/>
  <c r="U30" i="4"/>
  <c r="X18" i="4"/>
  <c r="AA8" i="4"/>
  <c r="AA24" i="4"/>
  <c r="AA5" i="4"/>
  <c r="AA6" i="4"/>
  <c r="AA10" i="4"/>
  <c r="AA16" i="4"/>
  <c r="AA15" i="4"/>
  <c r="AA14" i="4"/>
  <c r="AA13" i="4"/>
  <c r="AA20" i="4"/>
  <c r="AA32" i="4"/>
  <c r="AA31" i="4"/>
  <c r="AA30" i="4"/>
  <c r="T8" i="4" l="1"/>
  <c r="T20" i="4"/>
  <c r="T13" i="4"/>
  <c r="R16" i="4"/>
  <c r="R13" i="4"/>
  <c r="H16" i="4" l="1"/>
  <c r="H13" i="4"/>
  <c r="Q19" i="4"/>
  <c r="Q19" i="3" s="1"/>
  <c r="AC22" i="4"/>
  <c r="AC16" i="4"/>
  <c r="Q16" i="4"/>
  <c r="Q13" i="4"/>
  <c r="Q9" i="4"/>
  <c r="Q9" i="3" s="1"/>
  <c r="AC13" i="3"/>
  <c r="M24" i="3"/>
  <c r="H29" i="3"/>
  <c r="U29" i="3"/>
  <c r="G30" i="4"/>
  <c r="D30" i="4" s="1"/>
  <c r="G24" i="4"/>
  <c r="D24" i="4" s="1"/>
  <c r="AC26" i="4"/>
  <c r="AB22" i="4"/>
  <c r="AB26" i="4" s="1"/>
  <c r="Z22" i="4"/>
  <c r="Z26" i="4" s="1"/>
  <c r="Y22" i="4"/>
  <c r="Y26" i="4" s="1"/>
  <c r="X22" i="4"/>
  <c r="X26" i="4" s="1"/>
  <c r="W22" i="4"/>
  <c r="W26" i="4" s="1"/>
  <c r="V22" i="4"/>
  <c r="V26" i="4" s="1"/>
  <c r="T22" i="4"/>
  <c r="T26" i="4" s="1"/>
  <c r="S22" i="4"/>
  <c r="S26" i="4" s="1"/>
  <c r="R22" i="4"/>
  <c r="R26" i="4" s="1"/>
  <c r="Q22" i="4"/>
  <c r="Q26" i="4" s="1"/>
  <c r="P26" i="4"/>
  <c r="O22" i="4"/>
  <c r="O26" i="4" s="1"/>
  <c r="N22" i="4"/>
  <c r="N26" i="4" s="1"/>
  <c r="M22" i="4"/>
  <c r="M26" i="4" s="1"/>
  <c r="L22" i="4"/>
  <c r="L26" i="4" s="1"/>
  <c r="K22" i="4"/>
  <c r="K26" i="4" s="1"/>
  <c r="J22" i="4"/>
  <c r="J26" i="4" s="1"/>
  <c r="I22" i="4"/>
  <c r="I26" i="4" s="1"/>
  <c r="H22" i="4"/>
  <c r="H26" i="4" s="1"/>
  <c r="AC19" i="4"/>
  <c r="AC19" i="3" s="1"/>
  <c r="AB19" i="4"/>
  <c r="Z19" i="4"/>
  <c r="Y19" i="4"/>
  <c r="Y19" i="3" s="1"/>
  <c r="X19" i="4"/>
  <c r="W19" i="4"/>
  <c r="W19" i="3" s="1"/>
  <c r="V19" i="4"/>
  <c r="V19" i="3" s="1"/>
  <c r="T19" i="4"/>
  <c r="T19" i="3" s="1"/>
  <c r="S19" i="4"/>
  <c r="R19" i="4"/>
  <c r="R19" i="3" s="1"/>
  <c r="P19" i="4"/>
  <c r="O19" i="4"/>
  <c r="O19" i="3" s="1"/>
  <c r="N19" i="4"/>
  <c r="N19" i="3" s="1"/>
  <c r="M19" i="4"/>
  <c r="L19" i="4"/>
  <c r="L19" i="3" s="1"/>
  <c r="K19" i="3"/>
  <c r="J19" i="3"/>
  <c r="I19" i="3"/>
  <c r="H19" i="4"/>
  <c r="H19" i="3" s="1"/>
  <c r="G15" i="4"/>
  <c r="AA19" i="4"/>
  <c r="AA19" i="3" s="1"/>
  <c r="U13" i="3"/>
  <c r="AA22" i="4"/>
  <c r="AC9" i="4"/>
  <c r="AC9" i="3" s="1"/>
  <c r="AB9" i="4"/>
  <c r="AB9" i="3" s="1"/>
  <c r="Z9" i="4"/>
  <c r="Y9" i="4"/>
  <c r="Y9" i="3" s="1"/>
  <c r="X9" i="4"/>
  <c r="V9" i="4"/>
  <c r="V9" i="3" s="1"/>
  <c r="T9" i="4"/>
  <c r="T9" i="3" s="1"/>
  <c r="S9" i="4"/>
  <c r="S9" i="3" s="1"/>
  <c r="R9" i="4"/>
  <c r="R9" i="3" s="1"/>
  <c r="P9" i="4"/>
  <c r="P9" i="3" s="1"/>
  <c r="O9" i="4"/>
  <c r="O9" i="3" s="1"/>
  <c r="N9" i="4"/>
  <c r="M9" i="4"/>
  <c r="M9" i="3" s="1"/>
  <c r="L9" i="4"/>
  <c r="L9" i="3" s="1"/>
  <c r="K9" i="4"/>
  <c r="K9" i="3" s="1"/>
  <c r="I9" i="4"/>
  <c r="H9" i="4"/>
  <c r="U9" i="4"/>
  <c r="U9" i="3" s="1"/>
  <c r="AA9" i="4"/>
  <c r="AA9" i="3" s="1"/>
  <c r="H5" i="3"/>
  <c r="I6" i="3"/>
  <c r="W9" i="3"/>
  <c r="Z9" i="3"/>
  <c r="F16" i="3"/>
  <c r="F13" i="3"/>
  <c r="E7" i="3"/>
  <c r="D7" i="3" s="1"/>
  <c r="F29" i="3"/>
  <c r="F15" i="3"/>
  <c r="F18" i="3"/>
  <c r="F5" i="3"/>
  <c r="F9" i="3"/>
  <c r="E29" i="3"/>
  <c r="E24" i="3"/>
  <c r="E15" i="3"/>
  <c r="E14" i="3"/>
  <c r="E13" i="3"/>
  <c r="E9" i="3"/>
  <c r="E8" i="3"/>
  <c r="E6" i="3"/>
  <c r="X13" i="3"/>
  <c r="I29" i="3"/>
  <c r="J29" i="3"/>
  <c r="K29" i="3"/>
  <c r="L29" i="3"/>
  <c r="M29" i="3"/>
  <c r="N29" i="3"/>
  <c r="O29" i="3"/>
  <c r="P29" i="3"/>
  <c r="Q29" i="3"/>
  <c r="R29" i="3"/>
  <c r="S29" i="3"/>
  <c r="T29" i="3"/>
  <c r="V29" i="3"/>
  <c r="W29" i="3"/>
  <c r="X29" i="3"/>
  <c r="Y29" i="3"/>
  <c r="AA29" i="3"/>
  <c r="AB29" i="3"/>
  <c r="AC29" i="3"/>
  <c r="I24" i="3"/>
  <c r="J24" i="3"/>
  <c r="K24" i="3"/>
  <c r="L24" i="3"/>
  <c r="N24" i="3"/>
  <c r="O24" i="3"/>
  <c r="P24" i="3"/>
  <c r="Q24" i="3"/>
  <c r="R24" i="3"/>
  <c r="S24" i="3"/>
  <c r="T24" i="3"/>
  <c r="V24" i="3"/>
  <c r="X24" i="3"/>
  <c r="Y24" i="3"/>
  <c r="Z24" i="3"/>
  <c r="AA24" i="3"/>
  <c r="AB24" i="3"/>
  <c r="AC24" i="3"/>
  <c r="H24" i="3"/>
  <c r="I13" i="3"/>
  <c r="J13" i="3"/>
  <c r="K13" i="3"/>
  <c r="L13" i="3"/>
  <c r="M13" i="3"/>
  <c r="N13" i="3"/>
  <c r="O13" i="3"/>
  <c r="P13" i="3"/>
  <c r="R13" i="3"/>
  <c r="S13" i="3"/>
  <c r="T13" i="3"/>
  <c r="V13" i="3"/>
  <c r="W13" i="3"/>
  <c r="Y13" i="3"/>
  <c r="AB13" i="3"/>
  <c r="H14" i="3"/>
  <c r="H15" i="3"/>
  <c r="H16" i="3"/>
  <c r="H17" i="3"/>
  <c r="H18" i="3"/>
  <c r="H13" i="3"/>
  <c r="G31" i="4"/>
  <c r="D31" i="4" s="1"/>
  <c r="G7" i="4"/>
  <c r="D7" i="4" s="1"/>
  <c r="G5" i="4"/>
  <c r="D5" i="4" s="1"/>
  <c r="G8" i="4"/>
  <c r="D8" i="4" s="1"/>
  <c r="F10" i="4"/>
  <c r="G17" i="4"/>
  <c r="E20" i="4"/>
  <c r="G13" i="4"/>
  <c r="D13" i="4" s="1"/>
  <c r="F10" i="3" l="1"/>
  <c r="P20" i="3"/>
  <c r="AC10" i="3"/>
  <c r="F20" i="4"/>
  <c r="F22" i="4" s="1"/>
  <c r="F26" i="4" s="1"/>
  <c r="E20" i="3"/>
  <c r="U10" i="3"/>
  <c r="G6" i="4"/>
  <c r="D6" i="4" s="1"/>
  <c r="G15" i="3"/>
  <c r="D15" i="3" s="1"/>
  <c r="T10" i="3"/>
  <c r="P10" i="3"/>
  <c r="U22" i="4"/>
  <c r="U26" i="4" s="1"/>
  <c r="G32" i="4"/>
  <c r="D32" i="4" s="1"/>
  <c r="E10" i="4"/>
  <c r="E22" i="4" s="1"/>
  <c r="E26" i="4" s="1"/>
  <c r="AA13" i="3"/>
  <c r="AA20" i="3" s="1"/>
  <c r="AA26" i="4"/>
  <c r="G14" i="4"/>
  <c r="M20" i="3"/>
  <c r="Q20" i="3"/>
  <c r="G18" i="3"/>
  <c r="D18" i="3" s="1"/>
  <c r="L10" i="3"/>
  <c r="Q10" i="3"/>
  <c r="Y20" i="3"/>
  <c r="J10" i="3"/>
  <c r="O20" i="3"/>
  <c r="E10" i="3"/>
  <c r="W20" i="3"/>
  <c r="AB20" i="3"/>
  <c r="Y10" i="3"/>
  <c r="G29" i="3"/>
  <c r="D29" i="3" s="1"/>
  <c r="G14" i="3"/>
  <c r="D14" i="3" s="1"/>
  <c r="J20" i="3"/>
  <c r="I10" i="3"/>
  <c r="AB10" i="3"/>
  <c r="X10" i="3"/>
  <c r="G9" i="4"/>
  <c r="D9" i="4" s="1"/>
  <c r="M10" i="3"/>
  <c r="G18" i="4"/>
  <c r="D18" i="4" s="1"/>
  <c r="G9" i="3"/>
  <c r="D9" i="3" s="1"/>
  <c r="U19" i="4"/>
  <c r="U19" i="3" s="1"/>
  <c r="U24" i="3"/>
  <c r="G24" i="3" s="1"/>
  <c r="D24" i="3" s="1"/>
  <c r="Z10" i="3"/>
  <c r="V10" i="3"/>
  <c r="R10" i="3"/>
  <c r="N10" i="3"/>
  <c r="L20" i="3"/>
  <c r="T20" i="3"/>
  <c r="X20" i="3"/>
  <c r="AC20" i="3"/>
  <c r="W10" i="3"/>
  <c r="S10" i="3"/>
  <c r="O10" i="3"/>
  <c r="K10" i="3"/>
  <c r="AA10" i="3"/>
  <c r="G5" i="3"/>
  <c r="D5" i="3" s="1"/>
  <c r="F20" i="3"/>
  <c r="G8" i="3"/>
  <c r="D8" i="3" s="1"/>
  <c r="H20" i="3"/>
  <c r="G17" i="3"/>
  <c r="D17" i="3" s="1"/>
  <c r="N20" i="3"/>
  <c r="R20" i="3"/>
  <c r="S20" i="3"/>
  <c r="V20" i="3"/>
  <c r="Z20" i="3"/>
  <c r="K20" i="3"/>
  <c r="G16" i="3"/>
  <c r="I20" i="3"/>
  <c r="G16" i="4"/>
  <c r="F22" i="3" l="1"/>
  <c r="F26" i="3" s="1"/>
  <c r="L22" i="3"/>
  <c r="L26" i="3" s="1"/>
  <c r="E22" i="3"/>
  <c r="E26" i="3" s="1"/>
  <c r="U20" i="3"/>
  <c r="U22" i="3" s="1"/>
  <c r="U26" i="3" s="1"/>
  <c r="Z22" i="3"/>
  <c r="Z26" i="3" s="1"/>
  <c r="P22" i="3"/>
  <c r="P26" i="3" s="1"/>
  <c r="N22" i="3"/>
  <c r="N26" i="3" s="1"/>
  <c r="Y22" i="3"/>
  <c r="Y26" i="3" s="1"/>
  <c r="G6" i="3"/>
  <c r="D6" i="3" s="1"/>
  <c r="D10" i="3" s="1"/>
  <c r="AC22" i="3"/>
  <c r="AC26" i="3" s="1"/>
  <c r="Q22" i="3"/>
  <c r="Q26" i="3" s="1"/>
  <c r="O22" i="3"/>
  <c r="O26" i="3" s="1"/>
  <c r="M22" i="3"/>
  <c r="M26" i="3" s="1"/>
  <c r="G13" i="3"/>
  <c r="D13" i="3" s="1"/>
  <c r="I22" i="3"/>
  <c r="I26" i="3" s="1"/>
  <c r="D10" i="4"/>
  <c r="J22" i="3"/>
  <c r="J26" i="3" s="1"/>
  <c r="T22" i="3"/>
  <c r="T26" i="3" s="1"/>
  <c r="S22" i="3"/>
  <c r="S26" i="3" s="1"/>
  <c r="AB22" i="3"/>
  <c r="AB26" i="3" s="1"/>
  <c r="R22" i="3"/>
  <c r="R26" i="3" s="1"/>
  <c r="AA22" i="3"/>
  <c r="AA26" i="3" s="1"/>
  <c r="W22" i="3"/>
  <c r="W26" i="3" s="1"/>
  <c r="V22" i="3"/>
  <c r="V26" i="3" s="1"/>
  <c r="H10" i="3"/>
  <c r="H22" i="3" s="1"/>
  <c r="H26" i="3" s="1"/>
  <c r="K22" i="3"/>
  <c r="K26" i="3" s="1"/>
  <c r="G10" i="4"/>
  <c r="G19" i="4"/>
  <c r="D19" i="4" s="1"/>
  <c r="X22" i="3"/>
  <c r="X26" i="3" s="1"/>
  <c r="G19" i="3"/>
  <c r="D19" i="3" s="1"/>
  <c r="D16" i="3"/>
  <c r="G10" i="3" l="1"/>
  <c r="D20" i="4"/>
  <c r="D22" i="4" s="1"/>
  <c r="D26" i="4" s="1"/>
  <c r="G20" i="4"/>
  <c r="G22" i="4" s="1"/>
  <c r="G26" i="4" s="1"/>
  <c r="D20" i="3"/>
  <c r="D22" i="3" s="1"/>
  <c r="D26" i="3" s="1"/>
  <c r="G20" i="3"/>
  <c r="G22" i="3" l="1"/>
  <c r="G26" i="3" s="1"/>
</calcChain>
</file>

<file path=xl/comments1.xml><?xml version="1.0" encoding="utf-8"?>
<comments xmlns="http://schemas.openxmlformats.org/spreadsheetml/2006/main">
  <authors>
    <author>Jiri Trnecka</author>
    <author>svobodpa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6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4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560 017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919 756</t>
        </r>
      </text>
    </comment>
    <comment ref="Z2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31" authorId="1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</commentList>
</comments>
</file>

<file path=xl/comments2.xml><?xml version="1.0" encoding="utf-8"?>
<comments xmlns="http://schemas.openxmlformats.org/spreadsheetml/2006/main">
  <authors>
    <author>Jiri Trnecka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485915934,19</t>
        </r>
      </text>
    </comment>
  </commentList>
</comments>
</file>

<file path=xl/comments3.xml><?xml version="1.0" encoding="utf-8"?>
<comments xmlns="http://schemas.openxmlformats.org/spreadsheetml/2006/main">
  <authors>
    <author>Jiri Trnecka</author>
    <author>svobodpa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6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4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560 017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919 756</t>
        </r>
      </text>
    </comment>
    <comment ref="Z2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31" authorId="1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</commentList>
</comments>
</file>

<file path=xl/sharedStrings.xml><?xml version="1.0" encoding="utf-8"?>
<sst xmlns="http://schemas.openxmlformats.org/spreadsheetml/2006/main" count="181" uniqueCount="69">
  <si>
    <t xml:space="preserve">Město </t>
  </si>
  <si>
    <t xml:space="preserve">č.ř. </t>
  </si>
  <si>
    <t>účet</t>
  </si>
  <si>
    <t xml:space="preserve"> Název finanční operace</t>
  </si>
  <si>
    <t>účet DPH</t>
  </si>
  <si>
    <t>Brno-střed</t>
  </si>
  <si>
    <t>Bohunice</t>
  </si>
  <si>
    <t>Kohoutovice</t>
  </si>
  <si>
    <t>Bosonohy</t>
  </si>
  <si>
    <t>Žabovřesky</t>
  </si>
  <si>
    <t xml:space="preserve"> Bystrc</t>
  </si>
  <si>
    <t>Komín</t>
  </si>
  <si>
    <t>Jundrov</t>
  </si>
  <si>
    <t>Brno-sever</t>
  </si>
  <si>
    <t>Židenice</t>
  </si>
  <si>
    <t>Černovice</t>
  </si>
  <si>
    <t xml:space="preserve"> Brno-jih</t>
  </si>
  <si>
    <t>Vinohrady</t>
  </si>
  <si>
    <t xml:space="preserve"> Líšeň</t>
  </si>
  <si>
    <t xml:space="preserve"> Slatina</t>
  </si>
  <si>
    <t>Chrlice</t>
  </si>
  <si>
    <t>Medlánky</t>
  </si>
  <si>
    <t xml:space="preserve"> A: VÝNOSY  </t>
  </si>
  <si>
    <t>Výnosy z prodeje vlastních výrobků a služeb</t>
  </si>
  <si>
    <t>644-647</t>
  </si>
  <si>
    <t>Výnosy z prodeje dlouhodobého majetku a materiálu</t>
  </si>
  <si>
    <t>Ostatní výnosy</t>
  </si>
  <si>
    <t xml:space="preserve"> B: NÁKLADY   </t>
  </si>
  <si>
    <t xml:space="preserve">Spotřeba materiálu a energie </t>
  </si>
  <si>
    <t>Opravy a udržování</t>
  </si>
  <si>
    <t>512-518</t>
  </si>
  <si>
    <t>Služby</t>
  </si>
  <si>
    <t>52x</t>
  </si>
  <si>
    <t>Osobní náklady</t>
  </si>
  <si>
    <t>53x</t>
  </si>
  <si>
    <t>Daně a poplatky</t>
  </si>
  <si>
    <t>Ostatní náklady</t>
  </si>
  <si>
    <t xml:space="preserve"> Daň z příjmů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</si>
  <si>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</si>
  <si>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;</t>
  </si>
  <si>
    <t>Ostatní krátkodobé závazky</t>
  </si>
  <si>
    <t xml:space="preserve"> Ú h r n  výnosů (ř.1 až ř.5)  </t>
  </si>
  <si>
    <t>Výnosy z pronájmu</t>
  </si>
  <si>
    <t>ost. 6xx</t>
  </si>
  <si>
    <t>ost. 5xx</t>
  </si>
  <si>
    <t>Doplňkové ukazatele hospodaření:</t>
  </si>
  <si>
    <t>Stav běžného účtu vedlejší hospodářské činnosti k 31.12.</t>
  </si>
  <si>
    <t>Ostatní krátkodobé pohledávky (brutto)</t>
  </si>
  <si>
    <t xml:space="preserve">VÝNOSY  </t>
  </si>
  <si>
    <t xml:space="preserve">NÁKLADY   </t>
  </si>
  <si>
    <t>Výnosy z transferů</t>
  </si>
  <si>
    <t>19</t>
  </si>
  <si>
    <t>20</t>
  </si>
  <si>
    <t>18</t>
  </si>
  <si>
    <t xml:space="preserve"> Ú h r n  nákladů (ř.7 až ř.13)   </t>
  </si>
  <si>
    <t>Hospodářský výsledek před zdaněním (ř.6-ř.14)</t>
  </si>
  <si>
    <t>Hospodářský výsledek po zdanění (ř.15-ř.16)</t>
  </si>
  <si>
    <t>Hospodářský výsledek před zdaněním (ř.6 - ř.14)</t>
  </si>
  <si>
    <t>Statutární         město                celkem</t>
  </si>
  <si>
    <t>městské                  části                   celkem</t>
  </si>
  <si>
    <t>Starý        Lískovec</t>
  </si>
  <si>
    <t>Nový          Lískovec</t>
  </si>
  <si>
    <t xml:space="preserve"> Královo Pole</t>
  </si>
  <si>
    <t>Řečkovice           a Mokrá Hora</t>
  </si>
  <si>
    <t>Maloměřice        a Obřany</t>
  </si>
  <si>
    <t>Jídelna MMB,   klub zastupitelů</t>
  </si>
  <si>
    <t>Odpisy dlouhodobého majetku</t>
  </si>
  <si>
    <t>21</t>
  </si>
  <si>
    <t>Výsledek hospodaření předcházejících účetních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</si>
</sst>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Arial CE"/>
      <charset val="238"/>
    </font>
    <font>
      <sz val="10"/>
      <name val="Courier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sz val="14"/>
      <name val="Times New Roman CE"/>
      <charset val="238"/>
    </font>
    <font>
      <b/>
      <sz val="14"/>
      <name val="Times New Roman CE"/>
      <charset val="238"/>
    </font>
    <font>
      <sz val="14"/>
      <name val="Times New Roman"/>
      <family val="1"/>
      <charset val="238"/>
    </font>
    <font>
      <sz val="14"/>
      <name val="Arial CE"/>
      <family val="2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u/>
      <sz val="14"/>
      <name val="Times New Roman CE"/>
      <family val="1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41">
    <border>
      <left/>
      <right/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ck">
        <color indexed="8"/>
      </bottom>
      <diagonal/>
    </border>
    <border>
      <left style="thin">
        <color auto="1"/>
      </left>
      <right style="thin">
        <color indexed="8"/>
      </right>
      <top style="thick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 style="medium">
        <color indexed="8"/>
      </bottom>
      <diagonal/>
    </border>
    <border>
      <left style="thin">
        <color auto="1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auto="1"/>
      </left>
      <right style="thin">
        <color indexed="64"/>
      </right>
      <top style="thick">
        <color indexed="8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6">
    <xf numFmtId="0" fontId="0" fillId="0" borderId="0" xfId="0"/>
    <xf numFmtId="0" fontId="0" fillId="0" borderId="0" xfId="0" applyFill="1"/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3" fillId="0" borderId="19" xfId="0" applyFont="1" applyFill="1" applyBorder="1" applyProtection="1"/>
    <xf numFmtId="0" fontId="3" fillId="0" borderId="20" xfId="0" applyFont="1" applyFill="1" applyBorder="1" applyProtection="1"/>
    <xf numFmtId="0" fontId="2" fillId="0" borderId="21" xfId="0" applyFont="1" applyFill="1" applyBorder="1" applyProtection="1"/>
    <xf numFmtId="3" fontId="2" fillId="0" borderId="20" xfId="0" applyNumberFormat="1" applyFont="1" applyFill="1" applyBorder="1" applyAlignment="1" applyProtection="1">
      <alignment horizontal="righ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23" xfId="0" applyNumberFormat="1" applyFont="1" applyFill="1" applyBorder="1" applyAlignment="1" applyProtection="1">
      <alignment horizontal="right"/>
    </xf>
    <xf numFmtId="4" fontId="3" fillId="0" borderId="24" xfId="0" applyNumberFormat="1" applyFont="1" applyFill="1" applyBorder="1" applyAlignment="1" applyProtection="1">
      <alignment horizontal="right"/>
    </xf>
    <xf numFmtId="4" fontId="3" fillId="0" borderId="26" xfId="0" applyNumberFormat="1" applyFont="1" applyFill="1" applyBorder="1" applyAlignment="1" applyProtection="1">
      <alignment horizontal="right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Protection="1"/>
    <xf numFmtId="4" fontId="3" fillId="0" borderId="20" xfId="0" applyNumberFormat="1" applyFont="1" applyFill="1" applyBorder="1" applyAlignment="1" applyProtection="1">
      <alignment horizontal="right"/>
    </xf>
    <xf numFmtId="4" fontId="4" fillId="0" borderId="22" xfId="0" applyNumberFormat="1" applyFont="1" applyFill="1" applyBorder="1" applyAlignment="1" applyProtection="1">
      <alignment horizontal="right"/>
    </xf>
    <xf numFmtId="4" fontId="3" fillId="0" borderId="22" xfId="0" applyNumberFormat="1" applyFont="1" applyFill="1" applyBorder="1" applyAlignment="1" applyProtection="1">
      <alignment horizontal="right"/>
    </xf>
    <xf numFmtId="4" fontId="3" fillId="0" borderId="23" xfId="0" applyNumberFormat="1" applyFont="1" applyFill="1" applyBorder="1" applyAlignment="1" applyProtection="1">
      <alignment horizontal="right"/>
    </xf>
    <xf numFmtId="4" fontId="3" fillId="0" borderId="28" xfId="0" applyNumberFormat="1" applyFont="1" applyFill="1" applyBorder="1" applyAlignment="1" applyProtection="1">
      <alignment horizontal="right"/>
    </xf>
    <xf numFmtId="4" fontId="3" fillId="0" borderId="29" xfId="0" applyNumberFormat="1" applyFont="1" applyFill="1" applyBorder="1" applyAlignment="1" applyProtection="1">
      <alignment horizontal="right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34" xfId="0" applyFont="1" applyFill="1" applyBorder="1" applyProtection="1"/>
    <xf numFmtId="4" fontId="2" fillId="0" borderId="35" xfId="0" applyNumberFormat="1" applyFont="1" applyFill="1" applyBorder="1" applyAlignment="1" applyProtection="1">
      <alignment horizontal="right"/>
    </xf>
    <xf numFmtId="4" fontId="2" fillId="0" borderId="36" xfId="0" applyNumberFormat="1" applyFont="1" applyFill="1" applyBorder="1" applyAlignment="1" applyProtection="1">
      <alignment horizontal="right"/>
    </xf>
    <xf numFmtId="4" fontId="2" fillId="0" borderId="37" xfId="0" applyNumberFormat="1" applyFont="1" applyFill="1" applyBorder="1" applyAlignment="1" applyProtection="1">
      <alignment horizontal="right"/>
    </xf>
    <xf numFmtId="0" fontId="2" fillId="0" borderId="38" xfId="0" applyFont="1" applyFill="1" applyBorder="1" applyAlignment="1" applyProtection="1">
      <alignment horizontal="center"/>
    </xf>
    <xf numFmtId="0" fontId="2" fillId="0" borderId="39" xfId="0" applyFont="1" applyFill="1" applyBorder="1" applyAlignment="1" applyProtection="1">
      <alignment horizontal="center"/>
    </xf>
    <xf numFmtId="4" fontId="2" fillId="0" borderId="39" xfId="0" applyNumberFormat="1" applyFont="1" applyFill="1" applyBorder="1" applyAlignment="1" applyProtection="1">
      <alignment horizontal="right"/>
    </xf>
    <xf numFmtId="4" fontId="2" fillId="0" borderId="40" xfId="0" applyNumberFormat="1" applyFont="1" applyFill="1" applyBorder="1" applyAlignment="1" applyProtection="1">
      <alignment horizontal="right"/>
    </xf>
    <xf numFmtId="4" fontId="2" fillId="0" borderId="41" xfId="0" applyNumberFormat="1" applyFont="1" applyFill="1" applyBorder="1" applyAlignment="1" applyProtection="1">
      <alignment horizontal="right"/>
    </xf>
    <xf numFmtId="0" fontId="3" fillId="0" borderId="42" xfId="0" applyFont="1" applyFill="1" applyBorder="1" applyProtection="1"/>
    <xf numFmtId="0" fontId="3" fillId="0" borderId="39" xfId="0" applyFont="1" applyFill="1" applyBorder="1" applyProtection="1"/>
    <xf numFmtId="4" fontId="2" fillId="0" borderId="20" xfId="0" applyNumberFormat="1" applyFont="1" applyFill="1" applyBorder="1" applyAlignment="1" applyProtection="1">
      <alignment horizontal="right"/>
    </xf>
    <xf numFmtId="4" fontId="2" fillId="0" borderId="22" xfId="0" applyNumberFormat="1" applyFont="1" applyFill="1" applyBorder="1" applyAlignment="1" applyProtection="1">
      <alignment horizontal="right"/>
    </xf>
    <xf numFmtId="4" fontId="2" fillId="0" borderId="23" xfId="0" applyNumberFormat="1" applyFont="1" applyFill="1" applyBorder="1" applyAlignment="1" applyProtection="1">
      <alignment horizontal="right"/>
    </xf>
    <xf numFmtId="4" fontId="2" fillId="0" borderId="33" xfId="0" applyNumberFormat="1" applyFont="1" applyFill="1" applyBorder="1" applyAlignment="1" applyProtection="1">
      <alignment horizontal="right"/>
    </xf>
    <xf numFmtId="4" fontId="2" fillId="0" borderId="43" xfId="0" applyNumberFormat="1" applyFont="1" applyFill="1" applyBorder="1" applyAlignment="1" applyProtection="1">
      <alignment horizontal="right"/>
    </xf>
    <xf numFmtId="4" fontId="2" fillId="0" borderId="44" xfId="0" applyNumberFormat="1" applyFont="1" applyFill="1" applyBorder="1" applyAlignment="1" applyProtection="1">
      <alignment horizontal="right"/>
    </xf>
    <xf numFmtId="0" fontId="2" fillId="0" borderId="7" xfId="0" applyFont="1" applyFill="1" applyBorder="1" applyProtection="1"/>
    <xf numFmtId="4" fontId="2" fillId="0" borderId="6" xfId="0" applyNumberFormat="1" applyFont="1" applyFill="1" applyBorder="1" applyAlignment="1" applyProtection="1">
      <alignment horizontal="right"/>
    </xf>
    <xf numFmtId="4" fontId="2" fillId="0" borderId="10" xfId="0" applyNumberFormat="1" applyFont="1" applyFill="1" applyBorder="1" applyAlignment="1" applyProtection="1">
      <alignment horizontal="right"/>
    </xf>
    <xf numFmtId="4" fontId="2" fillId="0" borderId="45" xfId="0" applyNumberFormat="1" applyFont="1" applyFill="1" applyBorder="1" applyAlignment="1" applyProtection="1">
      <alignment horizontal="right"/>
    </xf>
    <xf numFmtId="4" fontId="2" fillId="0" borderId="46" xfId="0" applyNumberFormat="1" applyFont="1" applyFill="1" applyBorder="1" applyAlignment="1" applyProtection="1">
      <alignment horizontal="right"/>
    </xf>
    <xf numFmtId="0" fontId="2" fillId="0" borderId="47" xfId="0" applyFont="1" applyFill="1" applyBorder="1" applyProtection="1"/>
    <xf numFmtId="4" fontId="2" fillId="0" borderId="48" xfId="0" applyNumberFormat="1" applyFont="1" applyFill="1" applyBorder="1" applyAlignment="1" applyProtection="1">
      <alignment horizontal="right"/>
    </xf>
    <xf numFmtId="4" fontId="2" fillId="0" borderId="49" xfId="0" applyNumberFormat="1" applyFont="1" applyFill="1" applyBorder="1" applyAlignment="1" applyProtection="1">
      <alignment horizontal="right"/>
    </xf>
    <xf numFmtId="4" fontId="2" fillId="0" borderId="5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0" fontId="3" fillId="0" borderId="51" xfId="0" applyFont="1" applyFill="1" applyBorder="1" applyProtection="1"/>
    <xf numFmtId="3" fontId="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4" fontId="7" fillId="0" borderId="0" xfId="0" applyNumberFormat="1" applyFont="1" applyFill="1" applyProtection="1"/>
    <xf numFmtId="4" fontId="8" fillId="0" borderId="0" xfId="0" applyNumberFormat="1" applyFont="1" applyFill="1"/>
    <xf numFmtId="4" fontId="0" fillId="0" borderId="0" xfId="0" applyNumberFormat="1" applyFill="1"/>
    <xf numFmtId="4" fontId="9" fillId="0" borderId="0" xfId="0" applyNumberFormat="1" applyFont="1" applyFill="1"/>
    <xf numFmtId="0" fontId="8" fillId="0" borderId="0" xfId="0" applyFont="1" applyFill="1"/>
    <xf numFmtId="3" fontId="2" fillId="0" borderId="21" xfId="0" applyNumberFormat="1" applyFont="1" applyFill="1" applyBorder="1" applyAlignment="1" applyProtection="1">
      <alignment horizontal="right"/>
    </xf>
    <xf numFmtId="3" fontId="3" fillId="0" borderId="55" xfId="0" applyNumberFormat="1" applyFont="1" applyFill="1" applyBorder="1" applyAlignment="1" applyProtection="1">
      <alignment horizontal="right"/>
    </xf>
    <xf numFmtId="3" fontId="3" fillId="0" borderId="23" xfId="0" applyNumberFormat="1" applyFont="1" applyFill="1" applyBorder="1" applyAlignment="1" applyProtection="1">
      <alignment horizontal="right"/>
    </xf>
    <xf numFmtId="4" fontId="3" fillId="0" borderId="56" xfId="0" applyNumberFormat="1" applyFont="1" applyFill="1" applyBorder="1" applyAlignment="1" applyProtection="1">
      <alignment horizontal="right"/>
    </xf>
    <xf numFmtId="4" fontId="3" fillId="0" borderId="57" xfId="0" applyNumberFormat="1" applyFont="1" applyFill="1" applyBorder="1" applyAlignment="1" applyProtection="1">
      <alignment horizontal="right"/>
    </xf>
    <xf numFmtId="4" fontId="3" fillId="0" borderId="55" xfId="0" applyNumberFormat="1" applyFont="1" applyFill="1" applyBorder="1" applyAlignment="1" applyProtection="1">
      <alignment horizontal="right"/>
    </xf>
    <xf numFmtId="4" fontId="3" fillId="0" borderId="58" xfId="0" applyNumberFormat="1" applyFont="1" applyFill="1" applyBorder="1" applyAlignment="1" applyProtection="1">
      <alignment horizontal="right"/>
    </xf>
    <xf numFmtId="4" fontId="3" fillId="0" borderId="59" xfId="0" applyNumberFormat="1" applyFont="1" applyFill="1" applyBorder="1" applyAlignment="1" applyProtection="1">
      <alignment horizontal="right"/>
    </xf>
    <xf numFmtId="4" fontId="2" fillId="0" borderId="60" xfId="0" applyNumberFormat="1" applyFont="1" applyFill="1" applyBorder="1" applyAlignment="1" applyProtection="1">
      <alignment horizontal="right"/>
    </xf>
    <xf numFmtId="4" fontId="3" fillId="0" borderId="61" xfId="0" applyNumberFormat="1" applyFont="1" applyFill="1" applyBorder="1" applyAlignment="1" applyProtection="1">
      <alignment horizontal="right"/>
    </xf>
    <xf numFmtId="4" fontId="3" fillId="0" borderId="62" xfId="0" applyNumberFormat="1" applyFont="1" applyFill="1" applyBorder="1" applyAlignment="1" applyProtection="1">
      <alignment horizontal="right"/>
    </xf>
    <xf numFmtId="4" fontId="3" fillId="0" borderId="41" xfId="0" applyNumberFormat="1" applyFont="1" applyFill="1" applyBorder="1" applyAlignment="1" applyProtection="1">
      <alignment horizontal="right"/>
    </xf>
    <xf numFmtId="4" fontId="3" fillId="0" borderId="63" xfId="0" applyNumberFormat="1" applyFont="1" applyFill="1" applyBorder="1" applyAlignment="1" applyProtection="1">
      <alignment horizontal="right"/>
    </xf>
    <xf numFmtId="4" fontId="3" fillId="0" borderId="64" xfId="0" applyNumberFormat="1" applyFont="1" applyFill="1" applyBorder="1" applyAlignment="1" applyProtection="1">
      <alignment horizontal="right"/>
    </xf>
    <xf numFmtId="4" fontId="2" fillId="0" borderId="21" xfId="0" applyNumberFormat="1" applyFont="1" applyFill="1" applyBorder="1" applyAlignment="1" applyProtection="1">
      <alignment horizontal="right"/>
    </xf>
    <xf numFmtId="4" fontId="2" fillId="0" borderId="7" xfId="0" applyNumberFormat="1" applyFont="1" applyFill="1" applyBorder="1" applyAlignment="1" applyProtection="1">
      <alignment horizontal="right"/>
    </xf>
    <xf numFmtId="4" fontId="2" fillId="0" borderId="65" xfId="0" applyNumberFormat="1" applyFont="1" applyFill="1" applyBorder="1" applyAlignment="1" applyProtection="1">
      <alignment horizontal="right"/>
    </xf>
    <xf numFmtId="3" fontId="3" fillId="0" borderId="53" xfId="0" applyNumberFormat="1" applyFont="1" applyFill="1" applyBorder="1" applyAlignment="1" applyProtection="1">
      <alignment horizontal="right"/>
    </xf>
    <xf numFmtId="4" fontId="6" fillId="0" borderId="0" xfId="0" applyNumberFormat="1" applyFont="1" applyFill="1"/>
    <xf numFmtId="3" fontId="3" fillId="0" borderId="20" xfId="0" applyNumberFormat="1" applyFont="1" applyFill="1" applyBorder="1" applyAlignment="1" applyProtection="1">
      <alignment horizontal="right"/>
    </xf>
    <xf numFmtId="3" fontId="4" fillId="0" borderId="23" xfId="0" applyNumberFormat="1" applyFont="1" applyFill="1" applyBorder="1" applyAlignment="1" applyProtection="1">
      <alignment horizontal="right"/>
    </xf>
    <xf numFmtId="3" fontId="3" fillId="0" borderId="22" xfId="0" applyNumberFormat="1" applyFont="1" applyFill="1" applyBorder="1" applyAlignment="1" applyProtection="1">
      <alignment horizontal="right"/>
    </xf>
    <xf numFmtId="3" fontId="3" fillId="0" borderId="66" xfId="0" applyNumberFormat="1" applyFont="1" applyFill="1" applyBorder="1" applyAlignment="1" applyProtection="1">
      <alignment horizontal="right"/>
    </xf>
    <xf numFmtId="3" fontId="3" fillId="0" borderId="67" xfId="0" applyNumberFormat="1" applyFont="1" applyFill="1" applyBorder="1" applyAlignment="1" applyProtection="1">
      <alignment horizontal="right"/>
    </xf>
    <xf numFmtId="3" fontId="3" fillId="0" borderId="68" xfId="0" applyNumberFormat="1" applyFont="1" applyFill="1" applyBorder="1" applyAlignment="1" applyProtection="1">
      <alignment horizontal="right"/>
    </xf>
    <xf numFmtId="3" fontId="3" fillId="0" borderId="69" xfId="0" applyNumberFormat="1" applyFont="1" applyFill="1" applyBorder="1" applyAlignment="1" applyProtection="1">
      <alignment horizontal="right"/>
    </xf>
    <xf numFmtId="3" fontId="3" fillId="0" borderId="28" xfId="0" applyNumberFormat="1" applyFont="1" applyFill="1" applyBorder="1" applyAlignment="1" applyProtection="1">
      <alignment horizontal="right"/>
    </xf>
    <xf numFmtId="3" fontId="3" fillId="0" borderId="29" xfId="0" applyNumberFormat="1" applyFont="1" applyFill="1" applyBorder="1" applyAlignment="1" applyProtection="1">
      <alignment horizontal="right"/>
    </xf>
    <xf numFmtId="3" fontId="3" fillId="0" borderId="70" xfId="0" applyNumberFormat="1" applyFont="1" applyFill="1" applyBorder="1" applyAlignment="1" applyProtection="1">
      <alignment horizontal="right"/>
    </xf>
    <xf numFmtId="3" fontId="3" fillId="0" borderId="71" xfId="0" applyNumberFormat="1" applyFont="1" applyFill="1" applyBorder="1" applyAlignment="1" applyProtection="1">
      <alignment horizontal="right"/>
    </xf>
    <xf numFmtId="3" fontId="2" fillId="0" borderId="35" xfId="0" applyNumberFormat="1" applyFont="1" applyFill="1" applyBorder="1" applyAlignment="1" applyProtection="1">
      <alignment horizontal="right"/>
    </xf>
    <xf numFmtId="3" fontId="2" fillId="0" borderId="36" xfId="0" applyNumberFormat="1" applyFont="1" applyFill="1" applyBorder="1" applyAlignment="1" applyProtection="1">
      <alignment horizontal="right"/>
    </xf>
    <xf numFmtId="3" fontId="2" fillId="0" borderId="72" xfId="0" applyNumberFormat="1" applyFont="1" applyFill="1" applyBorder="1" applyAlignment="1" applyProtection="1">
      <alignment horizontal="right"/>
    </xf>
    <xf numFmtId="3" fontId="5" fillId="0" borderId="73" xfId="0" applyNumberFormat="1" applyFont="1" applyFill="1" applyBorder="1" applyAlignment="1" applyProtection="1">
      <alignment horizontal="right"/>
    </xf>
    <xf numFmtId="3" fontId="5" fillId="0" borderId="75" xfId="0" applyNumberFormat="1" applyFont="1" applyFill="1" applyBorder="1" applyAlignment="1" applyProtection="1">
      <alignment horizontal="right"/>
    </xf>
    <xf numFmtId="3" fontId="5" fillId="0" borderId="36" xfId="0" applyNumberFormat="1" applyFont="1" applyFill="1" applyBorder="1" applyAlignment="1" applyProtection="1">
      <alignment horizontal="right"/>
    </xf>
    <xf numFmtId="3" fontId="5" fillId="0" borderId="35" xfId="0" applyNumberFormat="1" applyFont="1" applyFill="1" applyBorder="1" applyAlignment="1" applyProtection="1">
      <alignment horizontal="right"/>
    </xf>
    <xf numFmtId="3" fontId="2" fillId="0" borderId="39" xfId="0" applyNumberFormat="1" applyFont="1" applyFill="1" applyBorder="1" applyAlignment="1" applyProtection="1">
      <alignment horizontal="right"/>
    </xf>
    <xf numFmtId="3" fontId="2" fillId="0" borderId="40" xfId="0" applyNumberFormat="1" applyFont="1" applyFill="1" applyBorder="1" applyAlignment="1" applyProtection="1">
      <alignment horizontal="right"/>
    </xf>
    <xf numFmtId="3" fontId="2" fillId="0" borderId="41" xfId="0" applyNumberFormat="1" applyFont="1" applyFill="1" applyBorder="1" applyAlignment="1" applyProtection="1">
      <alignment horizontal="right"/>
    </xf>
    <xf numFmtId="3" fontId="3" fillId="0" borderId="76" xfId="0" applyNumberFormat="1" applyFont="1" applyFill="1" applyBorder="1" applyAlignment="1" applyProtection="1">
      <alignment horizontal="right"/>
    </xf>
    <xf numFmtId="3" fontId="3" fillId="0" borderId="77" xfId="0" applyNumberFormat="1" applyFont="1" applyFill="1" applyBorder="1" applyAlignment="1" applyProtection="1">
      <alignment horizontal="right"/>
    </xf>
    <xf numFmtId="3" fontId="3" fillId="0" borderId="78" xfId="0" applyNumberFormat="1" applyFont="1" applyFill="1" applyBorder="1" applyAlignment="1" applyProtection="1">
      <alignment horizontal="right"/>
    </xf>
    <xf numFmtId="3" fontId="3" fillId="0" borderId="79" xfId="0" applyNumberFormat="1" applyFont="1" applyFill="1" applyBorder="1" applyAlignment="1" applyProtection="1">
      <alignment horizontal="right"/>
    </xf>
    <xf numFmtId="3" fontId="3" fillId="0" borderId="80" xfId="0" applyNumberFormat="1" applyFont="1" applyFill="1" applyBorder="1" applyAlignment="1" applyProtection="1">
      <alignment horizontal="right"/>
    </xf>
    <xf numFmtId="3" fontId="3" fillId="0" borderId="81" xfId="0" applyNumberFormat="1" applyFont="1" applyFill="1" applyBorder="1" applyAlignment="1" applyProtection="1">
      <alignment horizontal="right"/>
    </xf>
    <xf numFmtId="3" fontId="2" fillId="0" borderId="33" xfId="0" applyNumberFormat="1" applyFont="1" applyFill="1" applyBorder="1" applyAlignment="1" applyProtection="1">
      <alignment horizontal="right"/>
    </xf>
    <xf numFmtId="3" fontId="2" fillId="0" borderId="43" xfId="0" applyNumberFormat="1" applyFont="1" applyFill="1" applyBorder="1" applyAlignment="1" applyProtection="1">
      <alignment horizontal="right"/>
    </xf>
    <xf numFmtId="3" fontId="2" fillId="0" borderId="44" xfId="0" applyNumberFormat="1" applyFont="1" applyFill="1" applyBorder="1" applyAlignment="1" applyProtection="1">
      <alignment horizontal="right"/>
    </xf>
    <xf numFmtId="3" fontId="2" fillId="0" borderId="6" xfId="0" applyNumberFormat="1" applyFont="1" applyFill="1" applyBorder="1" applyAlignment="1" applyProtection="1">
      <alignment horizontal="right"/>
    </xf>
    <xf numFmtId="3" fontId="2" fillId="0" borderId="10" xfId="0" applyNumberFormat="1" applyFont="1" applyFill="1" applyBorder="1" applyAlignment="1" applyProtection="1">
      <alignment horizontal="right"/>
    </xf>
    <xf numFmtId="3" fontId="2" fillId="0" borderId="45" xfId="0" applyNumberFormat="1" applyFont="1" applyFill="1" applyBorder="1" applyAlignment="1" applyProtection="1">
      <alignment horizontal="right"/>
    </xf>
    <xf numFmtId="3" fontId="2" fillId="0" borderId="82" xfId="0" applyNumberFormat="1" applyFont="1" applyFill="1" applyBorder="1" applyAlignment="1" applyProtection="1">
      <alignment horizontal="right"/>
    </xf>
    <xf numFmtId="3" fontId="2" fillId="0" borderId="83" xfId="0" applyNumberFormat="1" applyFont="1" applyFill="1" applyBorder="1" applyAlignment="1" applyProtection="1">
      <alignment horizontal="right"/>
    </xf>
    <xf numFmtId="3" fontId="2" fillId="0" borderId="84" xfId="0" applyNumberFormat="1" applyFont="1" applyFill="1" applyBorder="1" applyAlignment="1" applyProtection="1">
      <alignment horizontal="right"/>
    </xf>
    <xf numFmtId="3" fontId="2" fillId="0" borderId="85" xfId="0" applyNumberFormat="1" applyFont="1" applyFill="1" applyBorder="1" applyAlignment="1" applyProtection="1">
      <alignment horizontal="right"/>
    </xf>
    <xf numFmtId="3" fontId="2" fillId="0" borderId="46" xfId="0" applyNumberFormat="1" applyFont="1" applyFill="1" applyBorder="1" applyAlignment="1" applyProtection="1">
      <alignment horizontal="right"/>
    </xf>
    <xf numFmtId="3" fontId="2" fillId="0" borderId="73" xfId="0" applyNumberFormat="1" applyFont="1" applyFill="1" applyBorder="1" applyAlignment="1" applyProtection="1">
      <alignment horizontal="right"/>
    </xf>
    <xf numFmtId="3" fontId="2" fillId="0" borderId="75" xfId="0" applyNumberFormat="1" applyFont="1" applyFill="1" applyBorder="1" applyAlignment="1" applyProtection="1">
      <alignment horizontal="right"/>
    </xf>
    <xf numFmtId="3" fontId="2" fillId="0" borderId="76" xfId="0" applyNumberFormat="1" applyFont="1" applyFill="1" applyBorder="1" applyAlignment="1" applyProtection="1">
      <alignment horizontal="right"/>
    </xf>
    <xf numFmtId="3" fontId="2" fillId="0" borderId="77" xfId="0" applyNumberFormat="1" applyFont="1" applyFill="1" applyBorder="1" applyAlignment="1" applyProtection="1">
      <alignment horizontal="right"/>
    </xf>
    <xf numFmtId="3" fontId="2" fillId="0" borderId="78" xfId="0" applyNumberFormat="1" applyFont="1" applyFill="1" applyBorder="1" applyAlignment="1" applyProtection="1">
      <alignment horizontal="right"/>
    </xf>
    <xf numFmtId="3" fontId="3" fillId="0" borderId="86" xfId="0" applyNumberFormat="1" applyFont="1" applyFill="1" applyBorder="1" applyAlignment="1" applyProtection="1">
      <alignment horizontal="right"/>
    </xf>
    <xf numFmtId="3" fontId="3" fillId="0" borderId="87" xfId="0" applyNumberFormat="1" applyFont="1" applyFill="1" applyBorder="1" applyAlignment="1" applyProtection="1">
      <alignment horizontal="right"/>
    </xf>
    <xf numFmtId="3" fontId="3" fillId="0" borderId="88" xfId="0" applyNumberFormat="1" applyFont="1" applyFill="1" applyBorder="1" applyAlignment="1" applyProtection="1">
      <alignment horizontal="right"/>
    </xf>
    <xf numFmtId="3" fontId="3" fillId="0" borderId="54" xfId="0" applyNumberFormat="1" applyFont="1" applyFill="1" applyBorder="1" applyAlignment="1" applyProtection="1">
      <alignment horizontal="right"/>
    </xf>
    <xf numFmtId="3" fontId="3" fillId="0" borderId="18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3" fontId="3" fillId="0" borderId="20" xfId="0" applyNumberFormat="1" applyFont="1" applyFill="1" applyBorder="1" applyAlignment="1" applyProtection="1">
      <alignment horizontal="center"/>
    </xf>
    <xf numFmtId="4" fontId="3" fillId="0" borderId="90" xfId="0" applyNumberFormat="1" applyFont="1" applyFill="1" applyBorder="1" applyProtection="1"/>
    <xf numFmtId="4" fontId="3" fillId="0" borderId="91" xfId="0" applyNumberFormat="1" applyFont="1" applyFill="1" applyBorder="1" applyAlignment="1" applyProtection="1">
      <alignment horizontal="right"/>
    </xf>
    <xf numFmtId="4" fontId="3" fillId="0" borderId="92" xfId="0" applyNumberFormat="1" applyFont="1" applyFill="1" applyBorder="1" applyAlignment="1" applyProtection="1">
      <alignment horizontal="right"/>
    </xf>
    <xf numFmtId="3" fontId="3" fillId="0" borderId="96" xfId="0" applyNumberFormat="1" applyFont="1" applyFill="1" applyBorder="1" applyAlignment="1" applyProtection="1">
      <alignment horizontal="center"/>
    </xf>
    <xf numFmtId="4" fontId="3" fillId="0" borderId="97" xfId="0" applyNumberFormat="1" applyFont="1" applyFill="1" applyBorder="1" applyAlignment="1" applyProtection="1">
      <alignment horizontal="right"/>
    </xf>
    <xf numFmtId="4" fontId="3" fillId="0" borderId="98" xfId="0" applyNumberFormat="1" applyFont="1" applyFill="1" applyBorder="1" applyAlignment="1" applyProtection="1">
      <alignment horizontal="right"/>
    </xf>
    <xf numFmtId="3" fontId="3" fillId="0" borderId="102" xfId="0" applyNumberFormat="1" applyFont="1" applyFill="1" applyBorder="1" applyAlignment="1" applyProtection="1">
      <alignment horizontal="right"/>
    </xf>
    <xf numFmtId="3" fontId="5" fillId="0" borderId="103" xfId="0" applyNumberFormat="1" applyFont="1" applyFill="1" applyBorder="1" applyAlignment="1" applyProtection="1">
      <alignment horizontal="right"/>
    </xf>
    <xf numFmtId="3" fontId="3" fillId="0" borderId="104" xfId="0" applyNumberFormat="1" applyFont="1" applyFill="1" applyBorder="1" applyAlignment="1" applyProtection="1">
      <alignment horizontal="right"/>
    </xf>
    <xf numFmtId="3" fontId="2" fillId="0" borderId="105" xfId="0" applyNumberFormat="1" applyFont="1" applyFill="1" applyBorder="1" applyAlignment="1" applyProtection="1">
      <alignment horizontal="right"/>
    </xf>
    <xf numFmtId="3" fontId="2" fillId="0" borderId="103" xfId="0" applyNumberFormat="1" applyFont="1" applyFill="1" applyBorder="1" applyAlignment="1" applyProtection="1">
      <alignment horizontal="right"/>
    </xf>
    <xf numFmtId="3" fontId="2" fillId="0" borderId="104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3" fontId="3" fillId="0" borderId="108" xfId="0" applyNumberFormat="1" applyFont="1" applyFill="1" applyBorder="1" applyAlignment="1" applyProtection="1">
      <alignment horizontal="right"/>
    </xf>
    <xf numFmtId="3" fontId="3" fillId="0" borderId="109" xfId="0" applyNumberFormat="1" applyFont="1" applyFill="1" applyBorder="1" applyAlignment="1" applyProtection="1">
      <alignment horizontal="right"/>
    </xf>
    <xf numFmtId="3" fontId="2" fillId="0" borderId="110" xfId="0" applyNumberFormat="1" applyFont="1" applyFill="1" applyBorder="1" applyAlignment="1" applyProtection="1">
      <alignment horizontal="right"/>
    </xf>
    <xf numFmtId="3" fontId="2" fillId="0" borderId="109" xfId="0" applyNumberFormat="1" applyFont="1" applyFill="1" applyBorder="1" applyAlignment="1" applyProtection="1">
      <alignment horizontal="right"/>
    </xf>
    <xf numFmtId="3" fontId="3" fillId="0" borderId="111" xfId="0" applyNumberFormat="1" applyFont="1" applyFill="1" applyBorder="1" applyAlignment="1" applyProtection="1">
      <alignment horizontal="right"/>
    </xf>
    <xf numFmtId="3" fontId="3" fillId="0" borderId="112" xfId="0" applyNumberFormat="1" applyFont="1" applyFill="1" applyBorder="1" applyAlignment="1" applyProtection="1">
      <alignment horizontal="right"/>
    </xf>
    <xf numFmtId="3" fontId="3" fillId="0" borderId="113" xfId="0" applyNumberFormat="1" applyFont="1" applyFill="1" applyBorder="1" applyAlignment="1" applyProtection="1">
      <alignment horizontal="right"/>
    </xf>
    <xf numFmtId="3" fontId="3" fillId="0" borderId="114" xfId="0" applyNumberFormat="1" applyFont="1" applyFill="1" applyBorder="1" applyAlignment="1" applyProtection="1">
      <alignment horizontal="right"/>
    </xf>
    <xf numFmtId="3" fontId="3" fillId="0" borderId="115" xfId="0" applyNumberFormat="1" applyFont="1" applyFill="1" applyBorder="1" applyAlignment="1" applyProtection="1">
      <alignment horizontal="right"/>
    </xf>
    <xf numFmtId="3" fontId="3" fillId="0" borderId="116" xfId="0" applyNumberFormat="1" applyFont="1" applyFill="1" applyBorder="1" applyAlignment="1" applyProtection="1">
      <alignment horizontal="right"/>
    </xf>
    <xf numFmtId="3" fontId="2" fillId="0" borderId="117" xfId="0" applyNumberFormat="1" applyFont="1" applyFill="1" applyBorder="1" applyAlignment="1" applyProtection="1">
      <alignment horizontal="right"/>
    </xf>
    <xf numFmtId="3" fontId="3" fillId="0" borderId="118" xfId="0" applyNumberFormat="1" applyFont="1" applyFill="1" applyBorder="1" applyAlignment="1" applyProtection="1">
      <alignment horizontal="right"/>
    </xf>
    <xf numFmtId="3" fontId="3" fillId="0" borderId="120" xfId="0" applyNumberFormat="1" applyFont="1" applyFill="1" applyBorder="1" applyAlignment="1" applyProtection="1">
      <alignment horizontal="right"/>
    </xf>
    <xf numFmtId="3" fontId="3" fillId="0" borderId="121" xfId="0" applyNumberFormat="1" applyFont="1" applyFill="1" applyBorder="1" applyAlignment="1" applyProtection="1">
      <alignment horizontal="right"/>
    </xf>
    <xf numFmtId="3" fontId="3" fillId="0" borderId="122" xfId="0" applyNumberFormat="1" applyFont="1" applyFill="1" applyBorder="1" applyAlignment="1" applyProtection="1">
      <alignment horizontal="right"/>
    </xf>
    <xf numFmtId="3" fontId="2" fillId="0" borderId="121" xfId="0" applyNumberFormat="1" applyFont="1" applyFill="1" applyBorder="1" applyAlignment="1" applyProtection="1">
      <alignment horizontal="right"/>
    </xf>
    <xf numFmtId="4" fontId="3" fillId="0" borderId="125" xfId="0" applyNumberFormat="1" applyFont="1" applyFill="1" applyBorder="1" applyAlignment="1" applyProtection="1">
      <alignment horizontal="right"/>
    </xf>
    <xf numFmtId="4" fontId="3" fillId="0" borderId="126" xfId="0" applyNumberFormat="1" applyFont="1" applyFill="1" applyBorder="1" applyAlignment="1" applyProtection="1">
      <alignment horizontal="right"/>
    </xf>
    <xf numFmtId="49" fontId="3" fillId="0" borderId="89" xfId="0" applyNumberFormat="1" applyFont="1" applyFill="1" applyBorder="1" applyAlignment="1" applyProtection="1">
      <alignment horizontal="center"/>
    </xf>
    <xf numFmtId="49" fontId="3" fillId="0" borderId="94" xfId="0" applyNumberFormat="1" applyFont="1" applyFill="1" applyBorder="1" applyAlignment="1" applyProtection="1">
      <alignment horizontal="center"/>
    </xf>
    <xf numFmtId="49" fontId="3" fillId="0" borderId="95" xfId="0" applyNumberFormat="1" applyFont="1" applyFill="1" applyBorder="1" applyAlignment="1" applyProtection="1">
      <alignment horizontal="center"/>
    </xf>
    <xf numFmtId="3" fontId="3" fillId="0" borderId="128" xfId="0" applyNumberFormat="1" applyFont="1" applyFill="1" applyBorder="1" applyAlignment="1" applyProtection="1">
      <alignment horizontal="right"/>
    </xf>
    <xf numFmtId="0" fontId="11" fillId="0" borderId="0" xfId="0" applyFont="1" applyFill="1"/>
    <xf numFmtId="0" fontId="3" fillId="0" borderId="21" xfId="0" applyFont="1" applyFill="1" applyBorder="1" applyAlignment="1" applyProtection="1">
      <alignment horizontal="left" shrinkToFit="1"/>
    </xf>
    <xf numFmtId="0" fontId="11" fillId="0" borderId="0" xfId="0" applyFont="1" applyFill="1" applyBorder="1"/>
    <xf numFmtId="0" fontId="3" fillId="0" borderId="130" xfId="0" applyFont="1" applyFill="1" applyBorder="1" applyAlignment="1" applyProtection="1">
      <alignment horizontal="left" shrinkToFit="1"/>
    </xf>
    <xf numFmtId="0" fontId="11" fillId="0" borderId="0" xfId="0" applyFont="1" applyFill="1" applyProtection="1"/>
    <xf numFmtId="4" fontId="11" fillId="0" borderId="0" xfId="0" applyNumberFormat="1" applyFont="1" applyFill="1"/>
    <xf numFmtId="3" fontId="3" fillId="0" borderId="57" xfId="0" applyNumberFormat="1" applyFont="1" applyFill="1" applyBorder="1" applyAlignment="1" applyProtection="1">
      <alignment horizontal="right"/>
    </xf>
    <xf numFmtId="3" fontId="3" fillId="0" borderId="56" xfId="0" applyNumberFormat="1" applyFont="1" applyFill="1" applyBorder="1" applyAlignment="1" applyProtection="1">
      <alignment horizontal="right"/>
    </xf>
    <xf numFmtId="3" fontId="3" fillId="0" borderId="131" xfId="0" applyNumberFormat="1" applyFont="1" applyFill="1" applyBorder="1" applyAlignment="1" applyProtection="1">
      <alignment horizontal="right"/>
    </xf>
    <xf numFmtId="4" fontId="2" fillId="0" borderId="124" xfId="0" applyNumberFormat="1" applyFont="1" applyFill="1" applyBorder="1" applyAlignment="1" applyProtection="1">
      <alignment horizontal="right"/>
    </xf>
    <xf numFmtId="4" fontId="2" fillId="0" borderId="9" xfId="0" applyNumberFormat="1" applyFont="1" applyFill="1" applyBorder="1" applyAlignment="1" applyProtection="1">
      <alignment horizontal="right"/>
    </xf>
    <xf numFmtId="4" fontId="2" fillId="0" borderId="25" xfId="0" applyNumberFormat="1" applyFont="1" applyFill="1" applyBorder="1" applyAlignment="1" applyProtection="1">
      <alignment horizontal="right"/>
    </xf>
    <xf numFmtId="4" fontId="2" fillId="0" borderId="123" xfId="0" applyNumberFormat="1" applyFont="1" applyFill="1" applyBorder="1" applyAlignment="1" applyProtection="1">
      <alignment horizontal="right"/>
    </xf>
    <xf numFmtId="4" fontId="2" fillId="0" borderId="132" xfId="0" applyNumberFormat="1" applyFont="1" applyFill="1" applyBorder="1" applyAlignment="1" applyProtection="1">
      <alignment horizontal="right"/>
    </xf>
    <xf numFmtId="4" fontId="2" fillId="0" borderId="62" xfId="0" applyNumberFormat="1" applyFont="1" applyFill="1" applyBorder="1" applyAlignment="1" applyProtection="1">
      <alignment horizontal="right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right"/>
    </xf>
    <xf numFmtId="4" fontId="2" fillId="0" borderId="64" xfId="0" applyNumberFormat="1" applyFont="1" applyFill="1" applyBorder="1" applyAlignment="1" applyProtection="1">
      <alignment horizontal="right"/>
    </xf>
    <xf numFmtId="4" fontId="3" fillId="0" borderId="17" xfId="0" applyNumberFormat="1" applyFont="1" applyFill="1" applyBorder="1" applyAlignment="1" applyProtection="1">
      <alignment horizontal="right"/>
    </xf>
    <xf numFmtId="4" fontId="3" fillId="0" borderId="133" xfId="0" applyNumberFormat="1" applyFont="1" applyFill="1" applyBorder="1" applyAlignment="1" applyProtection="1">
      <alignment horizontal="right"/>
    </xf>
    <xf numFmtId="4" fontId="3" fillId="0" borderId="9" xfId="0" applyNumberFormat="1" applyFont="1" applyFill="1" applyBorder="1" applyAlignment="1" applyProtection="1">
      <alignment horizontal="right"/>
    </xf>
    <xf numFmtId="4" fontId="3" fillId="0" borderId="18" xfId="0" applyNumberFormat="1" applyFont="1" applyFill="1" applyBorder="1" applyAlignment="1" applyProtection="1">
      <alignment horizontal="right"/>
    </xf>
    <xf numFmtId="4" fontId="3" fillId="0" borderId="16" xfId="0" applyNumberFormat="1" applyFont="1" applyFill="1" applyBorder="1" applyAlignment="1" applyProtection="1">
      <alignment horizontal="right"/>
    </xf>
    <xf numFmtId="4" fontId="3" fillId="0" borderId="54" xfId="0" applyNumberFormat="1" applyFont="1" applyFill="1" applyBorder="1" applyAlignment="1" applyProtection="1">
      <alignment horizontal="right"/>
    </xf>
    <xf numFmtId="4" fontId="3" fillId="0" borderId="132" xfId="0" applyNumberFormat="1" applyFont="1" applyFill="1" applyBorder="1" applyAlignment="1" applyProtection="1">
      <alignment horizontal="right"/>
    </xf>
    <xf numFmtId="0" fontId="2" fillId="0" borderId="134" xfId="0" applyFont="1" applyFill="1" applyBorder="1" applyAlignment="1" applyProtection="1">
      <alignment horizontal="center"/>
    </xf>
    <xf numFmtId="0" fontId="2" fillId="0" borderId="48" xfId="0" applyFont="1" applyFill="1" applyBorder="1" applyAlignment="1" applyProtection="1">
      <alignment horizontal="center"/>
    </xf>
    <xf numFmtId="3" fontId="3" fillId="0" borderId="129" xfId="0" applyNumberFormat="1" applyFont="1" applyFill="1" applyBorder="1" applyAlignment="1" applyProtection="1">
      <alignment horizontal="center"/>
    </xf>
    <xf numFmtId="4" fontId="3" fillId="0" borderId="21" xfId="0" applyNumberFormat="1" applyFont="1" applyFill="1" applyBorder="1" applyAlignment="1" applyProtection="1">
      <alignment horizontal="left" shrinkToFit="1"/>
    </xf>
    <xf numFmtId="4" fontId="3" fillId="0" borderId="21" xfId="0" applyNumberFormat="1" applyFont="1" applyFill="1" applyBorder="1" applyAlignment="1" applyProtection="1">
      <alignment horizontal="right"/>
    </xf>
    <xf numFmtId="4" fontId="3" fillId="0" borderId="131" xfId="0" applyNumberFormat="1" applyFont="1" applyFill="1" applyBorder="1" applyAlignment="1" applyProtection="1">
      <alignment horizontal="right"/>
    </xf>
    <xf numFmtId="4" fontId="13" fillId="0" borderId="55" xfId="0" applyNumberFormat="1" applyFont="1" applyFill="1" applyBorder="1" applyAlignment="1" applyProtection="1">
      <alignment horizontal="right"/>
    </xf>
    <xf numFmtId="4" fontId="3" fillId="0" borderId="51" xfId="0" applyNumberFormat="1" applyFont="1" applyFill="1" applyBorder="1" applyAlignment="1" applyProtection="1">
      <alignment horizontal="right"/>
    </xf>
    <xf numFmtId="4" fontId="3" fillId="0" borderId="135" xfId="0" applyNumberFormat="1" applyFont="1" applyFill="1" applyBorder="1" applyAlignment="1" applyProtection="1">
      <alignment horizontal="right"/>
    </xf>
    <xf numFmtId="4" fontId="2" fillId="0" borderId="136" xfId="0" applyNumberFormat="1" applyFont="1" applyFill="1" applyBorder="1" applyAlignment="1" applyProtection="1">
      <alignment horizontal="right"/>
    </xf>
    <xf numFmtId="4" fontId="2" fillId="0" borderId="137" xfId="0" applyNumberFormat="1" applyFont="1" applyFill="1" applyBorder="1" applyAlignment="1" applyProtection="1">
      <alignment horizontal="right"/>
    </xf>
    <xf numFmtId="4" fontId="2" fillId="0" borderId="138" xfId="0" applyNumberFormat="1" applyFont="1" applyFill="1" applyBorder="1" applyAlignment="1" applyProtection="1">
      <alignment horizontal="right"/>
    </xf>
    <xf numFmtId="4" fontId="2" fillId="0" borderId="139" xfId="0" applyNumberFormat="1" applyFont="1" applyFill="1" applyBorder="1" applyAlignment="1" applyProtection="1">
      <alignment horizontal="right"/>
    </xf>
    <xf numFmtId="4" fontId="2" fillId="0" borderId="140" xfId="0" applyNumberFormat="1" applyFont="1" applyFill="1" applyBorder="1" applyAlignment="1" applyProtection="1">
      <alignment horizontal="right"/>
    </xf>
    <xf numFmtId="4" fontId="3" fillId="0" borderId="119" xfId="0" applyNumberFormat="1" applyFont="1" applyFill="1" applyBorder="1" applyAlignment="1" applyProtection="1">
      <alignment horizontal="right"/>
    </xf>
    <xf numFmtId="4" fontId="5" fillId="0" borderId="141" xfId="0" applyNumberFormat="1" applyFont="1" applyFill="1" applyBorder="1" applyAlignment="1" applyProtection="1">
      <alignment horizontal="right"/>
    </xf>
    <xf numFmtId="4" fontId="2" fillId="0" borderId="34" xfId="0" applyNumberFormat="1" applyFont="1" applyFill="1" applyBorder="1" applyAlignment="1" applyProtection="1">
      <alignment horizontal="right"/>
    </xf>
    <xf numFmtId="4" fontId="3" fillId="0" borderId="142" xfId="0" applyNumberFormat="1" applyFont="1" applyFill="1" applyBorder="1" applyAlignment="1" applyProtection="1">
      <alignment horizontal="right"/>
    </xf>
    <xf numFmtId="4" fontId="3" fillId="0" borderId="143" xfId="0" applyNumberFormat="1" applyFont="1" applyFill="1" applyBorder="1" applyAlignment="1" applyProtection="1">
      <alignment horizontal="right"/>
    </xf>
    <xf numFmtId="4" fontId="2" fillId="0" borderId="47" xfId="0" applyNumberFormat="1" applyFont="1" applyFill="1" applyBorder="1" applyAlignment="1" applyProtection="1">
      <alignment horizontal="right"/>
    </xf>
    <xf numFmtId="4" fontId="3" fillId="0" borderId="40" xfId="0" applyNumberFormat="1" applyFont="1" applyFill="1" applyBorder="1" applyAlignment="1" applyProtection="1">
      <alignment horizontal="right"/>
    </xf>
    <xf numFmtId="4" fontId="3" fillId="0" borderId="7" xfId="0" applyNumberFormat="1" applyFont="1" applyFill="1" applyBorder="1" applyAlignment="1" applyProtection="1">
      <alignment horizontal="right"/>
    </xf>
    <xf numFmtId="4" fontId="3" fillId="0" borderId="127" xfId="0" applyNumberFormat="1" applyFont="1" applyFill="1" applyBorder="1" applyAlignment="1" applyProtection="1">
      <alignment horizontal="right"/>
    </xf>
    <xf numFmtId="4" fontId="3" fillId="0" borderId="13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/>
    <xf numFmtId="0" fontId="3" fillId="0" borderId="156" xfId="0" applyFont="1" applyFill="1" applyBorder="1" applyAlignment="1" applyProtection="1">
      <alignment horizontal="center"/>
    </xf>
    <xf numFmtId="0" fontId="3" fillId="0" borderId="157" xfId="0" applyFont="1" applyFill="1" applyBorder="1" applyAlignment="1" applyProtection="1">
      <alignment horizontal="center"/>
    </xf>
    <xf numFmtId="0" fontId="3" fillId="0" borderId="158" xfId="0" applyFont="1" applyFill="1" applyBorder="1" applyAlignment="1" applyProtection="1">
      <alignment horizontal="left" shrinkToFit="1"/>
    </xf>
    <xf numFmtId="3" fontId="3" fillId="0" borderId="157" xfId="0" applyNumberFormat="1" applyFont="1" applyFill="1" applyBorder="1" applyAlignment="1" applyProtection="1">
      <alignment horizontal="right"/>
    </xf>
    <xf numFmtId="3" fontId="3" fillId="0" borderId="159" xfId="0" applyNumberFormat="1" applyFont="1" applyFill="1" applyBorder="1" applyAlignment="1" applyProtection="1">
      <alignment horizontal="right"/>
    </xf>
    <xf numFmtId="3" fontId="3" fillId="0" borderId="160" xfId="0" applyNumberFormat="1" applyFont="1" applyFill="1" applyBorder="1" applyAlignment="1" applyProtection="1">
      <alignment horizontal="right"/>
    </xf>
    <xf numFmtId="3" fontId="3" fillId="0" borderId="73" xfId="0" applyNumberFormat="1" applyFont="1" applyFill="1" applyBorder="1" applyAlignment="1" applyProtection="1">
      <alignment horizontal="right"/>
    </xf>
    <xf numFmtId="3" fontId="3" fillId="0" borderId="75" xfId="0" applyNumberFormat="1" applyFont="1" applyFill="1" applyBorder="1" applyAlignment="1" applyProtection="1">
      <alignment horizontal="right"/>
    </xf>
    <xf numFmtId="3" fontId="3" fillId="0" borderId="103" xfId="0" applyNumberFormat="1" applyFont="1" applyFill="1" applyBorder="1" applyAlignment="1" applyProtection="1">
      <alignment horizontal="right"/>
    </xf>
    <xf numFmtId="3" fontId="3" fillId="0" borderId="74" xfId="0" applyNumberFormat="1" applyFont="1" applyFill="1" applyBorder="1" applyAlignment="1" applyProtection="1">
      <alignment horizontal="right"/>
    </xf>
    <xf numFmtId="3" fontId="3" fillId="0" borderId="36" xfId="0" applyNumberFormat="1" applyFont="1" applyFill="1" applyBorder="1" applyAlignment="1" applyProtection="1">
      <alignment horizontal="right"/>
    </xf>
    <xf numFmtId="3" fontId="3" fillId="0" borderId="35" xfId="0" applyNumberFormat="1" applyFont="1" applyFill="1" applyBorder="1" applyAlignment="1" applyProtection="1">
      <alignment horizontal="right"/>
    </xf>
    <xf numFmtId="4" fontId="3" fillId="0" borderId="161" xfId="0" applyNumberFormat="1" applyFont="1" applyFill="1" applyBorder="1" applyAlignment="1" applyProtection="1">
      <alignment horizontal="right"/>
    </xf>
    <xf numFmtId="4" fontId="3" fillId="0" borderId="162" xfId="0" applyNumberFormat="1" applyFont="1" applyFill="1" applyBorder="1" applyAlignment="1" applyProtection="1">
      <alignment horizontal="right"/>
    </xf>
    <xf numFmtId="4" fontId="3" fillId="0" borderId="163" xfId="0" applyNumberFormat="1" applyFont="1" applyFill="1" applyBorder="1" applyAlignment="1" applyProtection="1">
      <alignment horizontal="right"/>
    </xf>
    <xf numFmtId="4" fontId="14" fillId="0" borderId="74" xfId="0" applyNumberFormat="1" applyFont="1" applyFill="1" applyBorder="1" applyAlignment="1">
      <alignment horizontal="right"/>
    </xf>
    <xf numFmtId="4" fontId="14" fillId="0" borderId="103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4" fontId="3" fillId="0" borderId="164" xfId="0" applyNumberFormat="1" applyFont="1" applyFill="1" applyBorder="1" applyAlignment="1" applyProtection="1">
      <alignment horizontal="right"/>
    </xf>
    <xf numFmtId="4" fontId="3" fillId="0" borderId="165" xfId="0" applyNumberFormat="1" applyFont="1" applyFill="1" applyBorder="1" applyAlignment="1" applyProtection="1">
      <alignment horizontal="right"/>
    </xf>
    <xf numFmtId="4" fontId="3" fillId="0" borderId="166" xfId="0" applyNumberFormat="1" applyFont="1" applyFill="1" applyBorder="1" applyAlignment="1" applyProtection="1">
      <alignment horizontal="right"/>
    </xf>
    <xf numFmtId="4" fontId="3" fillId="0" borderId="167" xfId="0" applyNumberFormat="1" applyFont="1" applyFill="1" applyBorder="1" applyAlignment="1" applyProtection="1">
      <alignment horizontal="right"/>
    </xf>
    <xf numFmtId="4" fontId="2" fillId="0" borderId="168" xfId="0" applyNumberFormat="1" applyFont="1" applyFill="1" applyBorder="1" applyAlignment="1" applyProtection="1">
      <alignment horizontal="right"/>
    </xf>
    <xf numFmtId="4" fontId="2" fillId="0" borderId="8" xfId="0" applyNumberFormat="1" applyFont="1" applyFill="1" applyBorder="1" applyAlignment="1" applyProtection="1">
      <alignment horizontal="right"/>
    </xf>
    <xf numFmtId="4" fontId="3" fillId="0" borderId="169" xfId="0" applyNumberFormat="1" applyFont="1" applyFill="1" applyBorder="1" applyAlignment="1" applyProtection="1">
      <alignment horizontal="right"/>
    </xf>
    <xf numFmtId="3" fontId="3" fillId="0" borderId="174" xfId="0" applyNumberFormat="1" applyFont="1" applyFill="1" applyBorder="1" applyAlignment="1" applyProtection="1">
      <alignment horizontal="right"/>
    </xf>
    <xf numFmtId="4" fontId="3" fillId="0" borderId="175" xfId="0" applyNumberFormat="1" applyFont="1" applyFill="1" applyBorder="1" applyAlignment="1" applyProtection="1">
      <alignment horizontal="right"/>
    </xf>
    <xf numFmtId="4" fontId="3" fillId="0" borderId="176" xfId="0" applyNumberFormat="1" applyFont="1" applyFill="1" applyBorder="1" applyAlignment="1" applyProtection="1">
      <alignment horizontal="right"/>
    </xf>
    <xf numFmtId="4" fontId="3" fillId="0" borderId="177" xfId="0" applyNumberFormat="1" applyFont="1" applyFill="1" applyBorder="1" applyAlignment="1" applyProtection="1">
      <alignment horizontal="right"/>
    </xf>
    <xf numFmtId="4" fontId="14" fillId="0" borderId="178" xfId="0" applyNumberFormat="1" applyFont="1" applyFill="1" applyBorder="1" applyAlignment="1">
      <alignment horizontal="right"/>
    </xf>
    <xf numFmtId="4" fontId="3" fillId="0" borderId="179" xfId="0" applyNumberFormat="1" applyFont="1" applyFill="1" applyBorder="1" applyAlignment="1" applyProtection="1">
      <alignment horizontal="right"/>
    </xf>
    <xf numFmtId="4" fontId="3" fillId="0" borderId="180" xfId="0" applyNumberFormat="1" applyFont="1" applyFill="1" applyBorder="1" applyAlignment="1" applyProtection="1">
      <alignment horizontal="right"/>
    </xf>
    <xf numFmtId="4" fontId="14" fillId="0" borderId="181" xfId="0" applyNumberFormat="1" applyFont="1" applyFill="1" applyBorder="1" applyAlignment="1">
      <alignment horizontal="right"/>
    </xf>
    <xf numFmtId="4" fontId="2" fillId="0" borderId="182" xfId="0" applyNumberFormat="1" applyFont="1" applyFill="1" applyBorder="1" applyAlignment="1" applyProtection="1">
      <alignment horizontal="right"/>
    </xf>
    <xf numFmtId="4" fontId="2" fillId="0" borderId="183" xfId="0" applyNumberFormat="1" applyFont="1" applyFill="1" applyBorder="1" applyAlignment="1" applyProtection="1">
      <alignment horizontal="right"/>
    </xf>
    <xf numFmtId="4" fontId="2" fillId="0" borderId="172" xfId="0" applyNumberFormat="1" applyFont="1" applyFill="1" applyBorder="1" applyAlignment="1" applyProtection="1">
      <alignment horizontal="right"/>
    </xf>
    <xf numFmtId="4" fontId="3" fillId="0" borderId="184" xfId="0" applyNumberFormat="1" applyFont="1" applyFill="1" applyBorder="1" applyAlignment="1" applyProtection="1">
      <alignment horizontal="right"/>
    </xf>
    <xf numFmtId="4" fontId="3" fillId="0" borderId="172" xfId="0" applyNumberFormat="1" applyFont="1" applyFill="1" applyBorder="1" applyAlignment="1" applyProtection="1">
      <alignment horizontal="right"/>
    </xf>
    <xf numFmtId="4" fontId="3" fillId="0" borderId="186" xfId="0" applyNumberFormat="1" applyFont="1" applyFill="1" applyBorder="1" applyAlignment="1" applyProtection="1">
      <alignment horizontal="right"/>
    </xf>
    <xf numFmtId="4" fontId="14" fillId="0" borderId="187" xfId="0" applyNumberFormat="1" applyFont="1" applyFill="1" applyBorder="1" applyAlignment="1">
      <alignment horizontal="right"/>
    </xf>
    <xf numFmtId="4" fontId="3" fillId="0" borderId="188" xfId="0" applyNumberFormat="1" applyFont="1" applyFill="1" applyBorder="1" applyAlignment="1" applyProtection="1">
      <alignment horizontal="right"/>
    </xf>
    <xf numFmtId="4" fontId="14" fillId="0" borderId="190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 applyProtection="1">
      <alignment horizontal="right"/>
    </xf>
    <xf numFmtId="4" fontId="3" fillId="0" borderId="191" xfId="0" applyNumberFormat="1" applyFont="1" applyFill="1" applyBorder="1" applyAlignment="1" applyProtection="1">
      <alignment horizontal="right"/>
    </xf>
    <xf numFmtId="4" fontId="3" fillId="0" borderId="192" xfId="0" applyNumberFormat="1" applyFont="1" applyFill="1" applyBorder="1" applyAlignment="1" applyProtection="1">
      <alignment horizontal="right"/>
    </xf>
    <xf numFmtId="4" fontId="3" fillId="0" borderId="193" xfId="0" applyNumberFormat="1" applyFont="1" applyFill="1" applyBorder="1" applyAlignment="1" applyProtection="1">
      <alignment horizontal="right"/>
    </xf>
    <xf numFmtId="4" fontId="2" fillId="0" borderId="194" xfId="0" applyNumberFormat="1" applyFont="1" applyFill="1" applyBorder="1" applyAlignment="1" applyProtection="1">
      <alignment horizontal="right"/>
    </xf>
    <xf numFmtId="4" fontId="2" fillId="0" borderId="195" xfId="0" applyNumberFormat="1" applyFont="1" applyFill="1" applyBorder="1" applyAlignment="1" applyProtection="1">
      <alignment horizontal="right"/>
    </xf>
    <xf numFmtId="4" fontId="2" fillId="0" borderId="189" xfId="0" applyNumberFormat="1" applyFont="1" applyFill="1" applyBorder="1" applyAlignment="1" applyProtection="1">
      <alignment horizontal="right"/>
    </xf>
    <xf numFmtId="4" fontId="14" fillId="0" borderId="197" xfId="0" applyNumberFormat="1" applyFont="1" applyFill="1" applyBorder="1" applyAlignment="1">
      <alignment horizontal="right"/>
    </xf>
    <xf numFmtId="4" fontId="14" fillId="0" borderId="110" xfId="0" applyNumberFormat="1" applyFont="1" applyFill="1" applyBorder="1" applyAlignment="1">
      <alignment horizontal="right"/>
    </xf>
    <xf numFmtId="4" fontId="14" fillId="0" borderId="198" xfId="0" applyNumberFormat="1" applyFont="1" applyFill="1" applyBorder="1" applyAlignment="1">
      <alignment horizontal="right"/>
    </xf>
    <xf numFmtId="4" fontId="6" fillId="0" borderId="0" xfId="0" applyNumberFormat="1" applyFont="1" applyFill="1" applyBorder="1"/>
    <xf numFmtId="4" fontId="3" fillId="0" borderId="51" xfId="0" applyNumberFormat="1" applyFont="1" applyFill="1" applyBorder="1" applyAlignment="1" applyProtection="1">
      <alignment horizontal="right" vertical="center"/>
    </xf>
    <xf numFmtId="3" fontId="3" fillId="0" borderId="215" xfId="0" applyNumberFormat="1" applyFont="1" applyFill="1" applyBorder="1" applyAlignment="1" applyProtection="1">
      <alignment horizontal="right"/>
    </xf>
    <xf numFmtId="3" fontId="3" fillId="0" borderId="163" xfId="0" applyNumberFormat="1" applyFont="1" applyFill="1" applyBorder="1" applyAlignment="1" applyProtection="1">
      <alignment horizontal="right"/>
    </xf>
    <xf numFmtId="3" fontId="2" fillId="0" borderId="216" xfId="0" applyNumberFormat="1" applyFont="1" applyFill="1" applyBorder="1" applyAlignment="1" applyProtection="1">
      <alignment horizontal="right"/>
    </xf>
    <xf numFmtId="3" fontId="2" fillId="0" borderId="178" xfId="0" applyNumberFormat="1" applyFont="1" applyFill="1" applyBorder="1" applyAlignment="1" applyProtection="1">
      <alignment horizontal="right"/>
    </xf>
    <xf numFmtId="3" fontId="5" fillId="0" borderId="178" xfId="0" applyNumberFormat="1" applyFont="1" applyFill="1" applyBorder="1" applyAlignment="1" applyProtection="1">
      <alignment horizontal="right"/>
    </xf>
    <xf numFmtId="3" fontId="5" fillId="0" borderId="197" xfId="0" applyNumberFormat="1" applyFont="1" applyFill="1" applyBorder="1" applyAlignment="1" applyProtection="1">
      <alignment horizontal="right"/>
    </xf>
    <xf numFmtId="3" fontId="3" fillId="0" borderId="217" xfId="0" applyNumberFormat="1" applyFont="1" applyFill="1" applyBorder="1" applyAlignment="1" applyProtection="1">
      <alignment horizontal="right"/>
    </xf>
    <xf numFmtId="3" fontId="2" fillId="0" borderId="218" xfId="0" applyNumberFormat="1" applyFont="1" applyFill="1" applyBorder="1" applyAlignment="1" applyProtection="1">
      <alignment horizontal="right"/>
    </xf>
    <xf numFmtId="3" fontId="2" fillId="0" borderId="197" xfId="0" applyNumberFormat="1" applyFont="1" applyFill="1" applyBorder="1" applyAlignment="1" applyProtection="1">
      <alignment horizontal="right"/>
    </xf>
    <xf numFmtId="3" fontId="2" fillId="0" borderId="217" xfId="0" applyNumberFormat="1" applyFont="1" applyFill="1" applyBorder="1" applyAlignment="1" applyProtection="1">
      <alignment horizontal="right"/>
    </xf>
    <xf numFmtId="3" fontId="3" fillId="0" borderId="203" xfId="0" applyNumberFormat="1" applyFont="1" applyFill="1" applyBorder="1" applyAlignment="1" applyProtection="1">
      <alignment horizontal="right"/>
    </xf>
    <xf numFmtId="3" fontId="3" fillId="0" borderId="219" xfId="0" applyNumberFormat="1" applyFont="1" applyFill="1" applyBorder="1" applyAlignment="1" applyProtection="1">
      <alignment horizontal="right"/>
    </xf>
    <xf numFmtId="3" fontId="3" fillId="0" borderId="220" xfId="0" applyNumberFormat="1" applyFont="1" applyFill="1" applyBorder="1" applyAlignment="1" applyProtection="1">
      <alignment horizontal="right"/>
    </xf>
    <xf numFmtId="3" fontId="3" fillId="0" borderId="218" xfId="0" applyNumberFormat="1" applyFont="1" applyFill="1" applyBorder="1" applyAlignment="1" applyProtection="1">
      <alignment horizontal="right"/>
    </xf>
    <xf numFmtId="3" fontId="2" fillId="0" borderId="48" xfId="0" applyNumberFormat="1" applyFont="1" applyFill="1" applyBorder="1" applyAlignment="1" applyProtection="1">
      <alignment horizontal="right"/>
    </xf>
    <xf numFmtId="3" fontId="2" fillId="0" borderId="49" xfId="0" applyNumberFormat="1" applyFont="1" applyFill="1" applyBorder="1" applyAlignment="1" applyProtection="1">
      <alignment horizontal="right"/>
    </xf>
    <xf numFmtId="3" fontId="2" fillId="0" borderId="50" xfId="0" applyNumberFormat="1" applyFont="1" applyFill="1" applyBorder="1" applyAlignment="1" applyProtection="1">
      <alignment horizontal="right"/>
    </xf>
    <xf numFmtId="3" fontId="2" fillId="0" borderId="221" xfId="0" applyNumberFormat="1" applyFont="1" applyFill="1" applyBorder="1" applyAlignment="1" applyProtection="1">
      <alignment horizontal="right"/>
    </xf>
    <xf numFmtId="3" fontId="2" fillId="0" borderId="222" xfId="0" applyNumberFormat="1" applyFont="1" applyFill="1" applyBorder="1" applyAlignment="1" applyProtection="1">
      <alignment horizontal="right"/>
    </xf>
    <xf numFmtId="3" fontId="2" fillId="0" borderId="223" xfId="0" applyNumberFormat="1" applyFont="1" applyFill="1" applyBorder="1" applyAlignment="1" applyProtection="1">
      <alignment horizontal="right"/>
    </xf>
    <xf numFmtId="3" fontId="2" fillId="0" borderId="224" xfId="0" applyNumberFormat="1" applyFont="1" applyFill="1" applyBorder="1" applyAlignment="1" applyProtection="1">
      <alignment horizontal="right"/>
    </xf>
    <xf numFmtId="3" fontId="2" fillId="0" borderId="225" xfId="0" applyNumberFormat="1" applyFont="1" applyFill="1" applyBorder="1" applyAlignment="1" applyProtection="1">
      <alignment horizontal="right"/>
    </xf>
    <xf numFmtId="3" fontId="2" fillId="0" borderId="226" xfId="0" applyNumberFormat="1" applyFont="1" applyFill="1" applyBorder="1" applyAlignment="1" applyProtection="1">
      <alignment horizontal="right"/>
    </xf>
    <xf numFmtId="3" fontId="2" fillId="0" borderId="227" xfId="0" applyNumberFormat="1" applyFont="1" applyFill="1" applyBorder="1" applyAlignment="1" applyProtection="1">
      <alignment horizontal="right"/>
    </xf>
    <xf numFmtId="3" fontId="2" fillId="0" borderId="228" xfId="0" applyNumberFormat="1" applyFont="1" applyFill="1" applyBorder="1" applyAlignment="1" applyProtection="1">
      <alignment horizontal="right"/>
    </xf>
    <xf numFmtId="3" fontId="2" fillId="0" borderId="146" xfId="0" applyNumberFormat="1" applyFont="1" applyFill="1" applyBorder="1" applyAlignment="1" applyProtection="1">
      <alignment horizontal="right"/>
    </xf>
    <xf numFmtId="3" fontId="2" fillId="0" borderId="144" xfId="0" applyNumberFormat="1" applyFont="1" applyFill="1" applyBorder="1" applyAlignment="1" applyProtection="1">
      <alignment horizontal="right"/>
    </xf>
    <xf numFmtId="3" fontId="2" fillId="0" borderId="145" xfId="0" applyNumberFormat="1" applyFont="1" applyFill="1" applyBorder="1" applyAlignment="1" applyProtection="1">
      <alignment horizontal="right"/>
    </xf>
    <xf numFmtId="3" fontId="2" fillId="0" borderId="229" xfId="0" applyNumberFormat="1" applyFont="1" applyFill="1" applyBorder="1" applyAlignment="1" applyProtection="1">
      <alignment horizontal="right"/>
    </xf>
    <xf numFmtId="3" fontId="2" fillId="0" borderId="230" xfId="0" applyNumberFormat="1" applyFont="1" applyFill="1" applyBorder="1" applyAlignment="1" applyProtection="1">
      <alignment horizontal="right"/>
    </xf>
    <xf numFmtId="3" fontId="2" fillId="0" borderId="231" xfId="0" applyNumberFormat="1" applyFont="1" applyFill="1" applyBorder="1" applyAlignment="1" applyProtection="1">
      <alignment horizontal="right"/>
    </xf>
    <xf numFmtId="3" fontId="2" fillId="0" borderId="232" xfId="0" applyNumberFormat="1" applyFont="1" applyFill="1" applyBorder="1" applyAlignment="1" applyProtection="1">
      <alignment horizontal="right"/>
    </xf>
    <xf numFmtId="0" fontId="2" fillId="0" borderId="60" xfId="0" applyFont="1" applyFill="1" applyBorder="1" applyProtection="1"/>
    <xf numFmtId="3" fontId="3" fillId="0" borderId="233" xfId="0" applyNumberFormat="1" applyFont="1" applyFill="1" applyBorder="1" applyAlignment="1" applyProtection="1">
      <alignment horizontal="right"/>
    </xf>
    <xf numFmtId="3" fontId="3" fillId="0" borderId="9" xfId="0" applyNumberFormat="1" applyFont="1" applyFill="1" applyBorder="1" applyAlignment="1" applyProtection="1">
      <alignment horizontal="right"/>
    </xf>
    <xf numFmtId="3" fontId="3" fillId="0" borderId="11" xfId="0" applyNumberFormat="1" applyFont="1" applyFill="1" applyBorder="1" applyAlignment="1" applyProtection="1">
      <alignment horizontal="right"/>
    </xf>
    <xf numFmtId="4" fontId="3" fillId="0" borderId="11" xfId="0" applyNumberFormat="1" applyFont="1" applyFill="1" applyBorder="1" applyAlignment="1" applyProtection="1">
      <alignment horizontal="right"/>
    </xf>
    <xf numFmtId="4" fontId="3" fillId="0" borderId="12" xfId="0" applyNumberFormat="1" applyFont="1" applyFill="1" applyBorder="1" applyAlignment="1" applyProtection="1">
      <alignment horizontal="right"/>
    </xf>
    <xf numFmtId="4" fontId="3" fillId="0" borderId="114" xfId="0" applyNumberFormat="1" applyFont="1" applyFill="1" applyBorder="1" applyAlignment="1" applyProtection="1">
      <alignment horizontal="right"/>
    </xf>
    <xf numFmtId="3" fontId="3" fillId="0" borderId="234" xfId="0" applyNumberFormat="1" applyFont="1" applyFill="1" applyBorder="1" applyAlignment="1" applyProtection="1">
      <alignment horizontal="right"/>
    </xf>
    <xf numFmtId="3" fontId="3" fillId="0" borderId="83" xfId="0" applyNumberFormat="1" applyFont="1" applyFill="1" applyBorder="1" applyAlignment="1" applyProtection="1">
      <alignment horizontal="right"/>
    </xf>
    <xf numFmtId="4" fontId="2" fillId="0" borderId="144" xfId="0" applyNumberFormat="1" applyFont="1" applyFill="1" applyBorder="1" applyAlignment="1" applyProtection="1">
      <alignment horizontal="right"/>
    </xf>
    <xf numFmtId="4" fontId="2" fillId="0" borderId="146" xfId="0" applyNumberFormat="1" applyFont="1" applyFill="1" applyBorder="1" applyAlignment="1" applyProtection="1">
      <alignment horizontal="right"/>
    </xf>
    <xf numFmtId="4" fontId="2" fillId="0" borderId="185" xfId="0" applyNumberFormat="1" applyFont="1" applyFill="1" applyBorder="1" applyAlignment="1" applyProtection="1">
      <alignment horizontal="right"/>
    </xf>
    <xf numFmtId="4" fontId="2" fillId="0" borderId="145" xfId="0" applyNumberFormat="1" applyFont="1" applyFill="1" applyBorder="1" applyAlignment="1" applyProtection="1">
      <alignment horizontal="right"/>
    </xf>
    <xf numFmtId="4" fontId="2" fillId="0" borderId="170" xfId="0" applyNumberFormat="1" applyFont="1" applyFill="1" applyBorder="1" applyAlignment="1" applyProtection="1">
      <alignment horizontal="right"/>
    </xf>
    <xf numFmtId="4" fontId="2" fillId="0" borderId="196" xfId="0" applyNumberFormat="1" applyFont="1" applyFill="1" applyBorder="1" applyAlignment="1" applyProtection="1">
      <alignment horizontal="right"/>
    </xf>
    <xf numFmtId="4" fontId="2" fillId="0" borderId="147" xfId="0" applyNumberFormat="1" applyFont="1" applyFill="1" applyBorder="1" applyAlignment="1" applyProtection="1">
      <alignment horizontal="right"/>
    </xf>
    <xf numFmtId="4" fontId="3" fillId="0" borderId="155" xfId="0" applyNumberFormat="1" applyFont="1" applyFill="1" applyBorder="1" applyAlignment="1" applyProtection="1">
      <alignment horizontal="right"/>
    </xf>
    <xf numFmtId="4" fontId="3" fillId="0" borderId="148" xfId="0" applyNumberFormat="1" applyFont="1" applyFill="1" applyBorder="1" applyAlignment="1" applyProtection="1">
      <alignment horizontal="right"/>
    </xf>
    <xf numFmtId="4" fontId="4" fillId="0" borderId="148" xfId="0" applyNumberFormat="1" applyFont="1" applyFill="1" applyBorder="1" applyAlignment="1" applyProtection="1">
      <alignment horizontal="right"/>
    </xf>
    <xf numFmtId="4" fontId="4" fillId="0" borderId="93" xfId="0" applyNumberFormat="1" applyFont="1" applyFill="1" applyBorder="1" applyAlignment="1" applyProtection="1">
      <alignment horizontal="right"/>
    </xf>
    <xf numFmtId="4" fontId="4" fillId="0" borderId="149" xfId="0" applyNumberFormat="1" applyFont="1" applyFill="1" applyBorder="1" applyAlignment="1" applyProtection="1">
      <alignment horizontal="right"/>
    </xf>
    <xf numFmtId="4" fontId="4" fillId="0" borderId="106" xfId="0" applyNumberFormat="1" applyFont="1" applyFill="1" applyBorder="1" applyAlignment="1" applyProtection="1">
      <alignment horizontal="right"/>
    </xf>
    <xf numFmtId="4" fontId="4" fillId="0" borderId="150" xfId="0" applyNumberFormat="1" applyFont="1" applyFill="1" applyBorder="1" applyAlignment="1" applyProtection="1">
      <alignment horizontal="right"/>
    </xf>
    <xf numFmtId="4" fontId="4" fillId="0" borderId="27" xfId="0" applyNumberFormat="1" applyFont="1" applyFill="1" applyBorder="1" applyAlignment="1" applyProtection="1">
      <alignment horizontal="right"/>
    </xf>
    <xf numFmtId="4" fontId="3" fillId="0" borderId="66" xfId="0" applyNumberFormat="1" applyFont="1" applyFill="1" applyBorder="1" applyAlignment="1" applyProtection="1">
      <alignment horizontal="right"/>
    </xf>
    <xf numFmtId="4" fontId="3" fillId="0" borderId="151" xfId="0" applyNumberFormat="1" applyFont="1" applyFill="1" applyBorder="1" applyAlignment="1" applyProtection="1">
      <alignment horizontal="right"/>
    </xf>
    <xf numFmtId="4" fontId="4" fillId="0" borderId="151" xfId="0" applyNumberFormat="1" applyFont="1" applyFill="1" applyBorder="1" applyAlignment="1" applyProtection="1">
      <alignment horizontal="right"/>
    </xf>
    <xf numFmtId="4" fontId="4" fillId="0" borderId="67" xfId="0" applyNumberFormat="1" applyFont="1" applyFill="1" applyBorder="1" applyAlignment="1" applyProtection="1">
      <alignment horizontal="right"/>
    </xf>
    <xf numFmtId="4" fontId="4" fillId="0" borderId="193" xfId="0" applyNumberFormat="1" applyFont="1" applyFill="1" applyBorder="1" applyAlignment="1" applyProtection="1">
      <alignment horizontal="right"/>
    </xf>
    <xf numFmtId="4" fontId="4" fillId="0" borderId="67" xfId="0" applyNumberFormat="1" applyFont="1" applyFill="1" applyBorder="1"/>
    <xf numFmtId="4" fontId="4" fillId="0" borderId="142" xfId="0" applyNumberFormat="1" applyFont="1" applyFill="1" applyBorder="1" applyAlignment="1" applyProtection="1">
      <alignment horizontal="right"/>
    </xf>
    <xf numFmtId="4" fontId="4" fillId="0" borderId="55" xfId="0" applyNumberFormat="1" applyFont="1" applyFill="1" applyBorder="1" applyAlignment="1" applyProtection="1">
      <alignment horizontal="right"/>
    </xf>
    <xf numFmtId="4" fontId="4" fillId="0" borderId="69" xfId="0" applyNumberFormat="1" applyFont="1" applyFill="1" applyBorder="1" applyAlignment="1" applyProtection="1">
      <alignment horizontal="right"/>
    </xf>
    <xf numFmtId="4" fontId="3" fillId="0" borderId="99" xfId="0" applyNumberFormat="1" applyFont="1" applyFill="1" applyBorder="1" applyAlignment="1" applyProtection="1">
      <alignment horizontal="right"/>
    </xf>
    <xf numFmtId="4" fontId="3" fillId="0" borderId="152" xfId="0" applyNumberFormat="1" applyFont="1" applyFill="1" applyBorder="1" applyAlignment="1" applyProtection="1">
      <alignment horizontal="right"/>
    </xf>
    <xf numFmtId="4" fontId="4" fillId="0" borderId="152" xfId="0" applyNumberFormat="1" applyFont="1" applyFill="1" applyBorder="1" applyAlignment="1" applyProtection="1">
      <alignment horizontal="right"/>
    </xf>
    <xf numFmtId="4" fontId="4" fillId="0" borderId="100" xfId="0" applyNumberFormat="1" applyFont="1" applyFill="1" applyBorder="1" applyAlignment="1" applyProtection="1">
      <alignment horizontal="right"/>
    </xf>
    <xf numFmtId="4" fontId="4" fillId="0" borderId="153" xfId="0" applyNumberFormat="1" applyFont="1" applyFill="1" applyBorder="1" applyAlignment="1" applyProtection="1">
      <alignment horizontal="right"/>
    </xf>
    <xf numFmtId="4" fontId="4" fillId="0" borderId="107" xfId="0" applyNumberFormat="1" applyFont="1" applyFill="1" applyBorder="1" applyAlignment="1" applyProtection="1">
      <alignment horizontal="right"/>
    </xf>
    <xf numFmtId="4" fontId="4" fillId="0" borderId="100" xfId="0" applyNumberFormat="1" applyFont="1" applyFill="1" applyBorder="1"/>
    <xf numFmtId="4" fontId="4" fillId="0" borderId="154" xfId="0" applyNumberFormat="1" applyFont="1" applyFill="1" applyBorder="1" applyAlignment="1" applyProtection="1">
      <alignment horizontal="right"/>
    </xf>
    <xf numFmtId="4" fontId="4" fillId="0" borderId="101" xfId="0" applyNumberFormat="1" applyFont="1" applyFill="1" applyBorder="1" applyAlignment="1" applyProtection="1">
      <alignment horizontal="right"/>
    </xf>
    <xf numFmtId="4" fontId="4" fillId="0" borderId="235" xfId="0" applyNumberFormat="1" applyFont="1" applyFill="1" applyBorder="1" applyAlignment="1" applyProtection="1">
      <alignment horizontal="right"/>
    </xf>
    <xf numFmtId="4" fontId="3" fillId="0" borderId="235" xfId="0" applyNumberFormat="1" applyFont="1" applyFill="1" applyBorder="1" applyAlignment="1" applyProtection="1">
      <alignment horizontal="right"/>
    </xf>
    <xf numFmtId="4" fontId="13" fillId="0" borderId="152" xfId="0" applyNumberFormat="1" applyFont="1" applyFill="1" applyBorder="1" applyAlignment="1" applyProtection="1">
      <alignment horizontal="right"/>
    </xf>
    <xf numFmtId="4" fontId="13" fillId="0" borderId="100" xfId="0" applyNumberFormat="1" applyFont="1" applyFill="1" applyBorder="1" applyAlignment="1" applyProtection="1">
      <alignment horizontal="right"/>
    </xf>
    <xf numFmtId="4" fontId="13" fillId="0" borderId="100" xfId="0" applyNumberFormat="1" applyFont="1" applyFill="1" applyBorder="1"/>
    <xf numFmtId="4" fontId="13" fillId="0" borderId="154" xfId="0" applyNumberFormat="1" applyFont="1" applyFill="1" applyBorder="1" applyAlignment="1" applyProtection="1">
      <alignment horizontal="right"/>
    </xf>
    <xf numFmtId="0" fontId="3" fillId="0" borderId="240" xfId="0" applyFont="1" applyFill="1" applyBorder="1" applyAlignment="1" applyProtection="1">
      <alignment horizontal="left" shrinkToFit="1"/>
    </xf>
    <xf numFmtId="4" fontId="3" fillId="0" borderId="100" xfId="0" applyNumberFormat="1" applyFont="1" applyFill="1" applyBorder="1" applyAlignment="1" applyProtection="1">
      <alignment horizontal="right"/>
    </xf>
    <xf numFmtId="4" fontId="3" fillId="0" borderId="153" xfId="0" applyNumberFormat="1" applyFont="1" applyFill="1" applyBorder="1" applyAlignment="1" applyProtection="1">
      <alignment horizontal="right"/>
    </xf>
    <xf numFmtId="4" fontId="3" fillId="0" borderId="101" xfId="0" applyNumberFormat="1" applyFont="1" applyFill="1" applyBorder="1" applyAlignment="1" applyProtection="1">
      <alignment horizontal="right"/>
    </xf>
    <xf numFmtId="4" fontId="3" fillId="0" borderId="107" xfId="0" applyNumberFormat="1" applyFont="1" applyFill="1" applyBorder="1" applyAlignment="1" applyProtection="1">
      <alignment horizontal="right"/>
    </xf>
    <xf numFmtId="0" fontId="2" fillId="0" borderId="52" xfId="0" applyFont="1" applyFill="1" applyBorder="1" applyAlignment="1" applyProtection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03" xfId="0" applyFont="1" applyFill="1" applyBorder="1" applyAlignment="1" applyProtection="1">
      <alignment horizontal="center" vertical="center"/>
    </xf>
    <xf numFmtId="4" fontId="2" fillId="0" borderId="237" xfId="0" applyNumberFormat="1" applyFont="1" applyFill="1" applyBorder="1" applyAlignment="1" applyProtection="1">
      <alignment horizontal="center" vertical="center"/>
    </xf>
    <xf numFmtId="4" fontId="2" fillId="0" borderId="45" xfId="0" applyNumberFormat="1" applyFont="1" applyFill="1" applyBorder="1" applyAlignment="1" applyProtection="1">
      <alignment horizontal="center" vertical="center"/>
    </xf>
    <xf numFmtId="4" fontId="2" fillId="0" borderId="238" xfId="0" applyNumberFormat="1" applyFont="1" applyFill="1" applyBorder="1" applyAlignment="1" applyProtection="1">
      <alignment horizontal="center" vertical="center"/>
    </xf>
    <xf numFmtId="0" fontId="2" fillId="0" borderId="202" xfId="0" applyFont="1" applyFill="1" applyBorder="1" applyAlignment="1" applyProtection="1">
      <alignment horizontal="center" vertical="center"/>
    </xf>
    <xf numFmtId="0" fontId="2" fillId="0" borderId="199" xfId="0" applyFont="1" applyFill="1" applyBorder="1" applyAlignment="1" applyProtection="1">
      <alignment horizontal="center" vertical="center"/>
    </xf>
    <xf numFmtId="0" fontId="2" fillId="0" borderId="200" xfId="0" applyFont="1" applyFill="1" applyBorder="1" applyAlignment="1" applyProtection="1">
      <alignment horizontal="center" vertical="center"/>
    </xf>
    <xf numFmtId="0" fontId="2" fillId="0" borderId="237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238" xfId="0" applyFont="1" applyFill="1" applyBorder="1" applyAlignment="1" applyProtection="1">
      <alignment horizontal="center" vertical="center"/>
    </xf>
    <xf numFmtId="0" fontId="2" fillId="0" borderId="236" xfId="0" applyFont="1" applyFill="1" applyBorder="1" applyAlignment="1" applyProtection="1">
      <alignment horizontal="center" wrapText="1"/>
    </xf>
    <xf numFmtId="0" fontId="2" fillId="0" borderId="105" xfId="0" applyFont="1" applyFill="1" applyBorder="1" applyAlignment="1" applyProtection="1">
      <alignment horizontal="center" wrapText="1"/>
    </xf>
    <xf numFmtId="0" fontId="2" fillId="0" borderId="127" xfId="0" applyFont="1" applyFill="1" applyBorder="1" applyAlignment="1" applyProtection="1">
      <alignment horizontal="center" wrapText="1"/>
    </xf>
    <xf numFmtId="0" fontId="2" fillId="0" borderId="171" xfId="0" applyFont="1" applyFill="1" applyBorder="1" applyAlignment="1" applyProtection="1">
      <alignment horizontal="center" wrapText="1"/>
    </xf>
    <xf numFmtId="0" fontId="2" fillId="0" borderId="172" xfId="0" applyFont="1" applyFill="1" applyBorder="1" applyAlignment="1" applyProtection="1">
      <alignment horizontal="center" wrapText="1"/>
    </xf>
    <xf numFmtId="0" fontId="2" fillId="0" borderId="173" xfId="0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center" vertical="center"/>
    </xf>
    <xf numFmtId="4" fontId="2" fillId="0" borderId="9" xfId="0" applyNumberFormat="1" applyFont="1" applyFill="1" applyBorder="1" applyAlignment="1" applyProtection="1">
      <alignment horizontal="center" vertical="center"/>
    </xf>
    <xf numFmtId="4" fontId="2" fillId="0" borderId="203" xfId="0" applyNumberFormat="1" applyFont="1" applyFill="1" applyBorder="1" applyAlignment="1" applyProtection="1">
      <alignment horizontal="center" vertical="center"/>
    </xf>
    <xf numFmtId="4" fontId="2" fillId="0" borderId="213" xfId="0" applyNumberFormat="1" applyFont="1" applyFill="1" applyBorder="1" applyAlignment="1" applyProtection="1">
      <alignment horizontal="center" wrapText="1"/>
    </xf>
    <xf numFmtId="4" fontId="2" fillId="0" borderId="132" xfId="0" applyNumberFormat="1" applyFont="1" applyFill="1" applyBorder="1" applyAlignment="1" applyProtection="1">
      <alignment horizontal="center" wrapText="1"/>
    </xf>
    <xf numFmtId="4" fontId="2" fillId="0" borderId="214" xfId="0" applyNumberFormat="1" applyFont="1" applyFill="1" applyBorder="1" applyAlignment="1" applyProtection="1">
      <alignment horizontal="center" wrapText="1"/>
    </xf>
    <xf numFmtId="0" fontId="2" fillId="0" borderId="199" xfId="0" applyFont="1" applyFill="1" applyBorder="1" applyAlignment="1" applyProtection="1">
      <alignment horizontal="center" vertical="top"/>
    </xf>
    <xf numFmtId="0" fontId="2" fillId="0" borderId="200" xfId="0" applyFont="1" applyFill="1" applyBorder="1" applyAlignment="1" applyProtection="1">
      <alignment horizontal="center" vertical="top"/>
    </xf>
    <xf numFmtId="0" fontId="2" fillId="0" borderId="45" xfId="0" applyFont="1" applyFill="1" applyBorder="1" applyAlignment="1" applyProtection="1">
      <alignment horizontal="center" wrapText="1"/>
    </xf>
    <xf numFmtId="0" fontId="2" fillId="0" borderId="201" xfId="0" applyFont="1" applyFill="1" applyBorder="1" applyAlignment="1" applyProtection="1">
      <alignment horizontal="center" wrapText="1"/>
    </xf>
    <xf numFmtId="4" fontId="2" fillId="0" borderId="239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center" vertical="center"/>
    </xf>
    <xf numFmtId="4" fontId="2" fillId="0" borderId="18" xfId="0" applyNumberFormat="1" applyFont="1" applyFill="1" applyBorder="1" applyAlignment="1" applyProtection="1">
      <alignment horizontal="center" vertical="center"/>
    </xf>
    <xf numFmtId="4" fontId="2" fillId="0" borderId="236" xfId="0" applyNumberFormat="1" applyFont="1" applyFill="1" applyBorder="1" applyAlignment="1" applyProtection="1">
      <alignment horizontal="center" vertical="center"/>
    </xf>
    <xf numFmtId="4" fontId="2" fillId="0" borderId="105" xfId="0" applyNumberFormat="1" applyFont="1" applyFill="1" applyBorder="1" applyAlignment="1" applyProtection="1">
      <alignment horizontal="center" vertical="center"/>
    </xf>
    <xf numFmtId="4" fontId="2" fillId="0" borderId="127" xfId="0" applyNumberFormat="1" applyFont="1" applyFill="1" applyBorder="1" applyAlignment="1" applyProtection="1">
      <alignment horizontal="center" vertical="center"/>
    </xf>
    <xf numFmtId="4" fontId="2" fillId="0" borderId="171" xfId="0" applyNumberFormat="1" applyFont="1" applyFill="1" applyBorder="1" applyAlignment="1" applyProtection="1">
      <alignment horizontal="center" vertical="center"/>
    </xf>
    <xf numFmtId="4" fontId="2" fillId="0" borderId="172" xfId="0" applyNumberFormat="1" applyFont="1" applyFill="1" applyBorder="1" applyAlignment="1" applyProtection="1">
      <alignment horizontal="center" vertical="center"/>
    </xf>
    <xf numFmtId="4" fontId="2" fillId="0" borderId="17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4" fontId="2" fillId="0" borderId="9" xfId="0" applyNumberFormat="1" applyFont="1" applyFill="1" applyBorder="1" applyAlignment="1" applyProtection="1">
      <alignment horizontal="center" wrapText="1"/>
    </xf>
    <xf numFmtId="4" fontId="2" fillId="0" borderId="203" xfId="0" applyNumberFormat="1" applyFont="1" applyFill="1" applyBorder="1" applyAlignment="1" applyProtection="1">
      <alignment horizontal="center" wrapText="1"/>
    </xf>
    <xf numFmtId="0" fontId="2" fillId="0" borderId="204" xfId="0" applyFont="1" applyFill="1" applyBorder="1" applyAlignment="1" applyProtection="1">
      <alignment horizontal="center" wrapText="1"/>
    </xf>
    <xf numFmtId="0" fontId="2" fillId="0" borderId="205" xfId="0" applyFont="1" applyFill="1" applyBorder="1" applyAlignment="1" applyProtection="1">
      <alignment horizontal="center" wrapText="1"/>
    </xf>
    <xf numFmtId="0" fontId="2" fillId="0" borderId="206" xfId="0" applyFont="1" applyFill="1" applyBorder="1" applyAlignment="1" applyProtection="1">
      <alignment horizontal="center" wrapText="1"/>
    </xf>
    <xf numFmtId="4" fontId="2" fillId="0" borderId="207" xfId="0" applyNumberFormat="1" applyFont="1" applyFill="1" applyBorder="1" applyAlignment="1" applyProtection="1">
      <alignment horizontal="center" vertical="center"/>
    </xf>
    <xf numFmtId="4" fontId="2" fillId="0" borderId="208" xfId="0" applyNumberFormat="1" applyFont="1" applyFill="1" applyBorder="1" applyAlignment="1" applyProtection="1">
      <alignment horizontal="center" vertical="center"/>
    </xf>
    <xf numFmtId="4" fontId="2" fillId="0" borderId="209" xfId="0" applyNumberFormat="1" applyFont="1" applyFill="1" applyBorder="1" applyAlignment="1" applyProtection="1">
      <alignment horizontal="center" vertical="center"/>
    </xf>
    <xf numFmtId="4" fontId="2" fillId="0" borderId="210" xfId="0" applyNumberFormat="1" applyFont="1" applyFill="1" applyBorder="1" applyAlignment="1" applyProtection="1">
      <alignment horizontal="center" vertical="center"/>
    </xf>
    <xf numFmtId="4" fontId="2" fillId="0" borderId="211" xfId="0" applyNumberFormat="1" applyFont="1" applyFill="1" applyBorder="1" applyAlignment="1" applyProtection="1">
      <alignment horizontal="center" vertical="center"/>
    </xf>
    <xf numFmtId="4" fontId="2" fillId="0" borderId="180" xfId="0" applyNumberFormat="1" applyFont="1" applyFill="1" applyBorder="1" applyAlignment="1" applyProtection="1">
      <alignment horizontal="center" vertical="center"/>
    </xf>
    <xf numFmtId="4" fontId="2" fillId="0" borderId="212" xfId="0" applyNumberFormat="1" applyFont="1" applyFill="1" applyBorder="1" applyAlignment="1" applyProtection="1">
      <alignment horizontal="center" vertical="center"/>
    </xf>
  </cellXfs>
  <cellStyles count="2">
    <cellStyle name="Nedefinován" xfId="1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K42"/>
  <sheetViews>
    <sheetView showZeros="0" tabSelected="1" zoomScale="70" zoomScaleNormal="70" zoomScaleSheetLayoutView="75" workbookViewId="0">
      <pane xSplit="3" topLeftCell="D1" activePane="topRight" state="frozen"/>
      <selection pane="topRight" sqref="A1:A3"/>
    </sheetView>
  </sheetViews>
  <sheetFormatPr defaultColWidth="12.6640625" defaultRowHeight="15" x14ac:dyDescent="0.2"/>
  <cols>
    <col min="1" max="1" width="5" style="1" customWidth="1"/>
    <col min="2" max="2" width="7.5546875" style="1" customWidth="1"/>
    <col min="3" max="3" width="51.6640625" style="1" customWidth="1"/>
    <col min="4" max="4" width="16.88671875" style="1" bestFit="1" customWidth="1"/>
    <col min="5" max="6" width="14.77734375" style="1" customWidth="1"/>
    <col min="7" max="7" width="16.88671875" style="1" bestFit="1" customWidth="1"/>
    <col min="8" max="29" width="14.77734375" style="1" customWidth="1"/>
    <col min="30" max="16384" width="12.6640625" style="1"/>
  </cols>
  <sheetData>
    <row r="1" spans="1:29" ht="18" customHeight="1" thickTop="1" x14ac:dyDescent="0.3">
      <c r="A1" s="357" t="s">
        <v>1</v>
      </c>
      <c r="B1" s="360" t="s">
        <v>2</v>
      </c>
      <c r="C1" s="360" t="s">
        <v>3</v>
      </c>
      <c r="D1" s="363" t="s">
        <v>58</v>
      </c>
      <c r="E1" s="355" t="s">
        <v>0</v>
      </c>
      <c r="F1" s="356"/>
      <c r="G1" s="363" t="s">
        <v>59</v>
      </c>
      <c r="H1" s="372" t="s">
        <v>5</v>
      </c>
      <c r="I1" s="375" t="s">
        <v>6</v>
      </c>
      <c r="J1" s="378" t="s">
        <v>60</v>
      </c>
      <c r="K1" s="381" t="s">
        <v>61</v>
      </c>
      <c r="L1" s="366" t="s">
        <v>7</v>
      </c>
      <c r="M1" s="366" t="s">
        <v>8</v>
      </c>
      <c r="N1" s="366" t="s">
        <v>9</v>
      </c>
      <c r="O1" s="366" t="s">
        <v>10</v>
      </c>
      <c r="P1" s="369" t="s">
        <v>11</v>
      </c>
      <c r="Q1" s="397" t="s">
        <v>12</v>
      </c>
      <c r="R1" s="400" t="s">
        <v>13</v>
      </c>
      <c r="S1" s="403" t="s">
        <v>64</v>
      </c>
      <c r="T1" s="384" t="s">
        <v>14</v>
      </c>
      <c r="U1" s="384" t="s">
        <v>15</v>
      </c>
      <c r="V1" s="384" t="s">
        <v>16</v>
      </c>
      <c r="W1" s="369" t="s">
        <v>17</v>
      </c>
      <c r="X1" s="394" t="s">
        <v>18</v>
      </c>
      <c r="Y1" s="384" t="s">
        <v>19</v>
      </c>
      <c r="Z1" s="384" t="s">
        <v>20</v>
      </c>
      <c r="AA1" s="384" t="s">
        <v>62</v>
      </c>
      <c r="AB1" s="384" t="s">
        <v>21</v>
      </c>
      <c r="AC1" s="387" t="s">
        <v>63</v>
      </c>
    </row>
    <row r="2" spans="1:29" ht="18" customHeight="1" x14ac:dyDescent="0.2">
      <c r="A2" s="358"/>
      <c r="B2" s="361"/>
      <c r="C2" s="361"/>
      <c r="D2" s="364"/>
      <c r="E2" s="390" t="s">
        <v>4</v>
      </c>
      <c r="F2" s="392" t="s">
        <v>65</v>
      </c>
      <c r="G2" s="364"/>
      <c r="H2" s="373"/>
      <c r="I2" s="376"/>
      <c r="J2" s="379"/>
      <c r="K2" s="382"/>
      <c r="L2" s="367"/>
      <c r="M2" s="367"/>
      <c r="N2" s="367"/>
      <c r="O2" s="367"/>
      <c r="P2" s="370"/>
      <c r="Q2" s="398"/>
      <c r="R2" s="401"/>
      <c r="S2" s="404"/>
      <c r="T2" s="385"/>
      <c r="U2" s="385"/>
      <c r="V2" s="385"/>
      <c r="W2" s="370"/>
      <c r="X2" s="395"/>
      <c r="Y2" s="385"/>
      <c r="Z2" s="385"/>
      <c r="AA2" s="385"/>
      <c r="AB2" s="385"/>
      <c r="AC2" s="388"/>
    </row>
    <row r="3" spans="1:29" ht="18" customHeight="1" thickBot="1" x14ac:dyDescent="0.25">
      <c r="A3" s="359"/>
      <c r="B3" s="362"/>
      <c r="C3" s="362"/>
      <c r="D3" s="365"/>
      <c r="E3" s="391"/>
      <c r="F3" s="393"/>
      <c r="G3" s="365"/>
      <c r="H3" s="374"/>
      <c r="I3" s="377"/>
      <c r="J3" s="380"/>
      <c r="K3" s="383"/>
      <c r="L3" s="368"/>
      <c r="M3" s="368"/>
      <c r="N3" s="368"/>
      <c r="O3" s="368"/>
      <c r="P3" s="371"/>
      <c r="Q3" s="399"/>
      <c r="R3" s="402"/>
      <c r="S3" s="405"/>
      <c r="T3" s="386"/>
      <c r="U3" s="386"/>
      <c r="V3" s="386"/>
      <c r="W3" s="371"/>
      <c r="X3" s="396"/>
      <c r="Y3" s="386"/>
      <c r="Z3" s="386"/>
      <c r="AA3" s="386"/>
      <c r="AB3" s="386"/>
      <c r="AC3" s="389"/>
    </row>
    <row r="4" spans="1:29" ht="21" customHeight="1" x14ac:dyDescent="0.3">
      <c r="A4" s="34"/>
      <c r="B4" s="35"/>
      <c r="C4" s="302" t="s">
        <v>48</v>
      </c>
      <c r="D4" s="99"/>
      <c r="E4" s="100"/>
      <c r="F4" s="101"/>
      <c r="G4" s="100"/>
      <c r="H4" s="102"/>
      <c r="I4" s="157"/>
      <c r="J4" s="54"/>
      <c r="K4" s="303"/>
      <c r="L4" s="304"/>
      <c r="M4" s="305"/>
      <c r="N4" s="306"/>
      <c r="O4" s="304"/>
      <c r="P4" s="307"/>
      <c r="Q4" s="308"/>
      <c r="R4" s="306"/>
      <c r="S4" s="304"/>
      <c r="T4" s="306"/>
      <c r="U4" s="186"/>
      <c r="V4" s="306"/>
      <c r="W4" s="309"/>
      <c r="X4" s="151"/>
      <c r="Y4" s="310"/>
      <c r="Z4" s="310"/>
      <c r="AA4" s="310"/>
      <c r="AB4" s="310"/>
      <c r="AC4" s="276"/>
    </row>
    <row r="5" spans="1:29" s="166" customFormat="1" ht="18" customHeight="1" x14ac:dyDescent="0.3">
      <c r="A5" s="12">
        <v>1</v>
      </c>
      <c r="B5" s="13">
        <v>601.20000000000005</v>
      </c>
      <c r="C5" s="14" t="s">
        <v>23</v>
      </c>
      <c r="D5" s="81">
        <f>SUM(E5:G5)</f>
        <v>103219</v>
      </c>
      <c r="E5" s="84">
        <f>ROUND('VHČ 2014 (v Kč)'!E5/1000,0)+1</f>
        <v>73383</v>
      </c>
      <c r="F5" s="82">
        <f>ROUND('VHČ 2014 (v Kč)'!F5/1000,0)</f>
        <v>10442</v>
      </c>
      <c r="G5" s="83">
        <f>SUM(H5:AC5)</f>
        <v>19394</v>
      </c>
      <c r="H5" s="84">
        <f>ROUND('VHČ 2014 (v Kč)'!H5/1000,0)</f>
        <v>2332</v>
      </c>
      <c r="I5" s="156">
        <f>ROUND('VHČ 2014 (v Kč)'!I5/1000,0)</f>
        <v>0</v>
      </c>
      <c r="J5" s="144">
        <f>ROUND('VHČ 2014 (v Kč)'!J5/1000,0)</f>
        <v>133</v>
      </c>
      <c r="K5" s="106">
        <f>ROUND('VHČ 2014 (v Kč)'!K5/1000,0)</f>
        <v>1</v>
      </c>
      <c r="L5" s="106">
        <f>ROUND('VHČ 2014 (v Kč)'!L5/1000,0)</f>
        <v>0</v>
      </c>
      <c r="M5" s="106">
        <f>ROUND('VHČ 2014 (v Kč)'!M5/1000,0)</f>
        <v>0</v>
      </c>
      <c r="N5" s="106">
        <f>ROUND('VHČ 2014 (v Kč)'!N5/1000,0)</f>
        <v>0</v>
      </c>
      <c r="O5" s="106">
        <f>ROUND('VHČ 2014 (v Kč)'!O5/1000,0)</f>
        <v>0</v>
      </c>
      <c r="P5" s="107">
        <f>ROUND('VHČ 2014 (v Kč)'!P5/1000,0)</f>
        <v>0</v>
      </c>
      <c r="Q5" s="153">
        <f>ROUND('VHČ 2014 (v Kč)'!Q5/1000,0)</f>
        <v>0</v>
      </c>
      <c r="R5" s="165">
        <f>ROUND('VHČ 2014 (v Kč)'!R5/1000,0)</f>
        <v>0</v>
      </c>
      <c r="S5" s="106">
        <f>ROUND('VHČ 2014 (v Kč)'!S5/1000,0)</f>
        <v>0</v>
      </c>
      <c r="T5" s="106">
        <f>ROUND('VHČ 2014 (v Kč)'!T5/1000,0)</f>
        <v>0</v>
      </c>
      <c r="U5" s="106">
        <f>ROUND('VHČ 2014 (v Kč)'!U5/1000,0)</f>
        <v>7176</v>
      </c>
      <c r="V5" s="106">
        <f>ROUND('VHČ 2014 (v Kč)'!V5/1000,0)</f>
        <v>0</v>
      </c>
      <c r="W5" s="91">
        <f>ROUND('VHČ 2014 (v Kč)'!W5/1000,0)</f>
        <v>-3</v>
      </c>
      <c r="X5" s="153">
        <f>ROUND('VHČ 2014 (v Kč)'!X5/1000,0)</f>
        <v>0</v>
      </c>
      <c r="Y5" s="106">
        <f>ROUND('VHČ 2014 (v Kč)'!Y5/1000,0)</f>
        <v>0</v>
      </c>
      <c r="Z5" s="106">
        <f>ROUND('VHČ 2014 (v Kč)'!Z5/1000,0)</f>
        <v>0</v>
      </c>
      <c r="AA5" s="106">
        <f>ROUND('VHČ 2014 (v Kč)'!AA5/1000,0)</f>
        <v>9755</v>
      </c>
      <c r="AB5" s="106">
        <f>ROUND('VHČ 2014 (v Kč)'!AB5/1000,0)</f>
        <v>0</v>
      </c>
      <c r="AC5" s="271">
        <f>ROUND('VHČ 2014 (v Kč)'!AC5/1000,0)</f>
        <v>0</v>
      </c>
    </row>
    <row r="6" spans="1:29" s="166" customFormat="1" ht="18" customHeight="1" x14ac:dyDescent="0.3">
      <c r="A6" s="12">
        <v>2</v>
      </c>
      <c r="B6" s="13">
        <v>603</v>
      </c>
      <c r="C6" s="14" t="s">
        <v>42</v>
      </c>
      <c r="D6" s="81">
        <f>SUM(E6:G6)</f>
        <v>1918660</v>
      </c>
      <c r="E6" s="84">
        <f>ROUND('VHČ 2014 (v Kč)'!E6/1000,0)</f>
        <v>511416</v>
      </c>
      <c r="F6" s="82"/>
      <c r="G6" s="83">
        <f>SUM(H6:AC6)</f>
        <v>1407244</v>
      </c>
      <c r="H6" s="84">
        <f>ROUND('VHČ 2014 (v Kč)'!H6/1000,0)</f>
        <v>323754</v>
      </c>
      <c r="I6" s="156">
        <f>ROUND('VHČ 2014 (v Kč)'!I6/1000,0)</f>
        <v>607</v>
      </c>
      <c r="J6" s="144">
        <f>ROUND('VHČ 2014 (v Kč)'!J6/1000,0)</f>
        <v>37897</v>
      </c>
      <c r="K6" s="106">
        <f>ROUND('VHČ 2014 (v Kč)'!K6/1000,0)</f>
        <v>38750</v>
      </c>
      <c r="L6" s="106">
        <f>ROUND('VHČ 2014 (v Kč)'!L6/1000,0)</f>
        <v>73368</v>
      </c>
      <c r="M6" s="106">
        <f>ROUND('VHČ 2014 (v Kč)'!M6/1000,0)</f>
        <v>585</v>
      </c>
      <c r="N6" s="106">
        <f>ROUND('VHČ 2014 (v Kč)'!N6/1000,0)</f>
        <v>78719</v>
      </c>
      <c r="O6" s="106">
        <f>ROUND('VHČ 2014 (v Kč)'!O6/1000,0)</f>
        <v>83008</v>
      </c>
      <c r="P6" s="107">
        <f>ROUND('VHČ 2014 (v Kč)'!P6/1000,0)+1</f>
        <v>3742</v>
      </c>
      <c r="Q6" s="153">
        <f>ROUND('VHČ 2014 (v Kč)'!Q6/1000,0)</f>
        <v>8725</v>
      </c>
      <c r="R6" s="165">
        <f>ROUND('VHČ 2014 (v Kč)'!R6/1000,0)</f>
        <v>260305</v>
      </c>
      <c r="S6" s="106">
        <f>ROUND('VHČ 2014 (v Kč)'!S6/1000,0)</f>
        <v>4998</v>
      </c>
      <c r="T6" s="106">
        <f>ROUND('VHČ 2014 (v Kč)'!T6/1000,0)</f>
        <v>109382</v>
      </c>
      <c r="U6" s="106">
        <f>ROUND('VHČ 2014 (v Kč)'!U6/1000,0)</f>
        <v>44448</v>
      </c>
      <c r="V6" s="106">
        <f>ROUND('VHČ 2014 (v Kč)'!V6/1000,0)</f>
        <v>44755</v>
      </c>
      <c r="W6" s="91">
        <f>ROUND('VHČ 2014 (v Kč)'!W6/1000,0)</f>
        <v>36087</v>
      </c>
      <c r="X6" s="153">
        <f>ROUND('VHČ 2014 (v Kč)'!X6/1000,0)</f>
        <v>110726</v>
      </c>
      <c r="Y6" s="106">
        <f>ROUND('VHČ 2014 (v Kč)'!Y6/1000,0)</f>
        <v>35129</v>
      </c>
      <c r="Z6" s="106">
        <f>ROUND('VHČ 2014 (v Kč)'!Z6/1000,0)-1</f>
        <v>404</v>
      </c>
      <c r="AA6" s="106">
        <f>ROUND('VHČ 2014 (v Kč)'!AA6/1000,0)</f>
        <v>88873</v>
      </c>
      <c r="AB6" s="106">
        <f>ROUND('VHČ 2014 (v Kč)'!AB6/1000,0)</f>
        <v>736</v>
      </c>
      <c r="AC6" s="271">
        <f>ROUND('VHČ 2014 (v Kč)'!AC6/1000,0)</f>
        <v>22246</v>
      </c>
    </row>
    <row r="7" spans="1:29" s="166" customFormat="1" ht="18" customHeight="1" x14ac:dyDescent="0.3">
      <c r="A7" s="12">
        <v>3</v>
      </c>
      <c r="B7" s="13" t="s">
        <v>24</v>
      </c>
      <c r="C7" s="14" t="s">
        <v>25</v>
      </c>
      <c r="D7" s="81">
        <f>SUM(E7:G7)</f>
        <v>21216</v>
      </c>
      <c r="E7" s="84">
        <f>ROUND('VHČ 2014 (v Kč)'!E7/1000,0)</f>
        <v>21216</v>
      </c>
      <c r="F7" s="64"/>
      <c r="G7" s="83"/>
      <c r="H7" s="84">
        <f>ROUND('VHČ 2014 (v Kč)'!H7/1000,0)</f>
        <v>0</v>
      </c>
      <c r="I7" s="156">
        <f>ROUND('VHČ 2014 (v Kč)'!I7/1000,0)</f>
        <v>0</v>
      </c>
      <c r="J7" s="144">
        <f>ROUND('VHČ 2014 (v Kč)'!J7/1000,0)</f>
        <v>0</v>
      </c>
      <c r="K7" s="106">
        <f>ROUND('VHČ 2014 (v Kč)'!K7/1000,0)</f>
        <v>0</v>
      </c>
      <c r="L7" s="106">
        <f>ROUND('VHČ 2014 (v Kč)'!L7/1000,0)</f>
        <v>0</v>
      </c>
      <c r="M7" s="106">
        <f>ROUND('VHČ 2014 (v Kč)'!M7/1000,0)</f>
        <v>0</v>
      </c>
      <c r="N7" s="106">
        <f>ROUND('VHČ 2014 (v Kč)'!N7/1000,0)</f>
        <v>0</v>
      </c>
      <c r="O7" s="106">
        <f>ROUND('VHČ 2014 (v Kč)'!O7/1000,0)</f>
        <v>0</v>
      </c>
      <c r="P7" s="107">
        <f>ROUND('VHČ 2014 (v Kč)'!P7/1000,0)</f>
        <v>0</v>
      </c>
      <c r="Q7" s="153">
        <f>ROUND('VHČ 2014 (v Kč)'!Q7/1000,0)</f>
        <v>0</v>
      </c>
      <c r="R7" s="165">
        <f>ROUND('VHČ 2014 (v Kč)'!R7/1000,0)</f>
        <v>0</v>
      </c>
      <c r="S7" s="106">
        <f>ROUND('VHČ 2014 (v Kč)'!S7/1000,0)</f>
        <v>0</v>
      </c>
      <c r="T7" s="106">
        <f>ROUND('VHČ 2014 (v Kč)'!T7/1000,0)</f>
        <v>0</v>
      </c>
      <c r="U7" s="106">
        <f>ROUND('VHČ 2014 (v Kč)'!U7/1000,0)</f>
        <v>0</v>
      </c>
      <c r="V7" s="106">
        <f>ROUND('VHČ 2014 (v Kč)'!V7/1000,0)</f>
        <v>0</v>
      </c>
      <c r="W7" s="91">
        <f>ROUND('VHČ 2014 (v Kč)'!W7/1000,0)</f>
        <v>0</v>
      </c>
      <c r="X7" s="153">
        <f>ROUND('VHČ 2014 (v Kč)'!X7/1000,0)</f>
        <v>0</v>
      </c>
      <c r="Y7" s="106">
        <f>ROUND('VHČ 2014 (v Kč)'!Y7/1000,0)</f>
        <v>0</v>
      </c>
      <c r="Z7" s="106">
        <f>ROUND('VHČ 2014 (v Kč)'!Z7/1000,0)</f>
        <v>0</v>
      </c>
      <c r="AA7" s="106">
        <f>ROUND('VHČ 2014 (v Kč)'!AA7/1000,0)</f>
        <v>0</v>
      </c>
      <c r="AB7" s="106">
        <f>ROUND('VHČ 2014 (v Kč)'!AB7/1000,0)</f>
        <v>0</v>
      </c>
      <c r="AC7" s="271">
        <f>ROUND('VHČ 2014 (v Kč)'!AC7/1000,0)</f>
        <v>0</v>
      </c>
    </row>
    <row r="8" spans="1:29" s="166" customFormat="1" ht="18" customHeight="1" x14ac:dyDescent="0.3">
      <c r="A8" s="12">
        <v>4</v>
      </c>
      <c r="B8" s="13">
        <v>672</v>
      </c>
      <c r="C8" s="14" t="s">
        <v>50</v>
      </c>
      <c r="D8" s="81">
        <f>SUM(E8:G8)</f>
        <v>40482</v>
      </c>
      <c r="E8" s="84">
        <f>ROUND('VHČ 2014 (v Kč)'!E8/1000,0)</f>
        <v>9995</v>
      </c>
      <c r="F8" s="89"/>
      <c r="G8" s="83">
        <f>SUM(H8:AC8)</f>
        <v>30487</v>
      </c>
      <c r="H8" s="84">
        <f>ROUND('VHČ 2014 (v Kč)'!H8/1000,0)</f>
        <v>23612</v>
      </c>
      <c r="I8" s="156">
        <f>ROUND('VHČ 2014 (v Kč)'!I8/1000,0)</f>
        <v>179</v>
      </c>
      <c r="J8" s="144">
        <f>ROUND('VHČ 2014 (v Kč)'!J8/1000,0)</f>
        <v>623</v>
      </c>
      <c r="K8" s="106">
        <f>ROUND('VHČ 2014 (v Kč)'!K8/1000,0)</f>
        <v>92</v>
      </c>
      <c r="L8" s="106">
        <f>ROUND('VHČ 2014 (v Kč)'!L8/1000,0)</f>
        <v>618</v>
      </c>
      <c r="M8" s="106">
        <f>ROUND('VHČ 2014 (v Kč)'!M8/1000,0)</f>
        <v>82</v>
      </c>
      <c r="N8" s="106">
        <f>ROUND('VHČ 2014 (v Kč)'!N8/1000,0)</f>
        <v>363</v>
      </c>
      <c r="O8" s="106">
        <f>ROUND('VHČ 2014 (v Kč)'!O8/1000,0)</f>
        <v>50</v>
      </c>
      <c r="P8" s="107">
        <f>ROUND('VHČ 2014 (v Kč)'!P8/1000,0)</f>
        <v>6</v>
      </c>
      <c r="Q8" s="153">
        <f>ROUND('VHČ 2014 (v Kč)'!Q8/1000,0)</f>
        <v>0</v>
      </c>
      <c r="R8" s="165">
        <f>ROUND('VHČ 2014 (v Kč)'!R8/1000,0)</f>
        <v>1644</v>
      </c>
      <c r="S8" s="106">
        <f>ROUND('VHČ 2014 (v Kč)'!S8/1000,0)</f>
        <v>0</v>
      </c>
      <c r="T8" s="106">
        <f>ROUND('VHČ 2014 (v Kč)'!T8/1000,0)</f>
        <v>635</v>
      </c>
      <c r="U8" s="106">
        <f>ROUND('VHČ 2014 (v Kč)'!U8/1000,0)-1</f>
        <v>389</v>
      </c>
      <c r="V8" s="106">
        <f>ROUND('VHČ 2014 (v Kč)'!V8/1000,0)</f>
        <v>212</v>
      </c>
      <c r="W8" s="91">
        <f>ROUND('VHČ 2014 (v Kč)'!W8/1000,0)</f>
        <v>269</v>
      </c>
      <c r="X8" s="153">
        <f>ROUND('VHČ 2014 (v Kč)'!X8/1000,0)</f>
        <v>833</v>
      </c>
      <c r="Y8" s="106">
        <f>ROUND('VHČ 2014 (v Kč)'!Y8/1000,0)</f>
        <v>342</v>
      </c>
      <c r="Z8" s="106">
        <f>ROUND('VHČ 2014 (v Kč)'!Z8/1000,0)</f>
        <v>67</v>
      </c>
      <c r="AA8" s="106">
        <f>ROUND('VHČ 2014 (v Kč)'!AA8/1000,0)</f>
        <v>471</v>
      </c>
      <c r="AB8" s="106">
        <f>ROUND('VHČ 2014 (v Kč)'!AB8/1000,0)</f>
        <v>0</v>
      </c>
      <c r="AC8" s="271">
        <f>ROUND('VHČ 2014 (v Kč)'!AC8/1000,0)</f>
        <v>0</v>
      </c>
    </row>
    <row r="9" spans="1:29" s="166" customFormat="1" ht="18" customHeight="1" thickBot="1" x14ac:dyDescent="0.35">
      <c r="A9" s="21">
        <v>5</v>
      </c>
      <c r="B9" s="22" t="s">
        <v>43</v>
      </c>
      <c r="C9" s="14" t="s">
        <v>26</v>
      </c>
      <c r="D9" s="81">
        <f>SUM(E9:G9)</f>
        <v>72655</v>
      </c>
      <c r="E9" s="90">
        <f>ROUND('VHČ 2014 (v Kč)'!E9/1000,0)</f>
        <v>600</v>
      </c>
      <c r="F9" s="89">
        <f>ROUND('VHČ 2014 (v Kč)'!F9/1000,0)</f>
        <v>36</v>
      </c>
      <c r="G9" s="83">
        <f>SUM(H9:AC9)</f>
        <v>72019</v>
      </c>
      <c r="H9" s="84">
        <f>ROUND('VHČ 2014 (v Kč)'!H9/1000,0)+1</f>
        <v>16885</v>
      </c>
      <c r="I9" s="156">
        <f>ROUND('VHČ 2014 (v Kč)'!I9/1000,0)</f>
        <v>33</v>
      </c>
      <c r="J9" s="144">
        <f>ROUND('VHČ 2014 (v Kč)'!J9/1000,0)</f>
        <v>9346</v>
      </c>
      <c r="K9" s="106">
        <f>ROUND('VHČ 2014 (v Kč)'!K9/1000,0)</f>
        <v>1186</v>
      </c>
      <c r="L9" s="106">
        <f>ROUND('VHČ 2014 (v Kč)'!L9/1000,0)</f>
        <v>3568</v>
      </c>
      <c r="M9" s="106">
        <f>ROUND('VHČ 2014 (v Kč)'!M9/1000,0)</f>
        <v>3</v>
      </c>
      <c r="N9" s="106">
        <f>ROUND('VHČ 2014 (v Kč)'!N9/1000,0)-1</f>
        <v>357</v>
      </c>
      <c r="O9" s="106">
        <f>ROUND('VHČ 2014 (v Kč)'!O9/1000,0)</f>
        <v>2168</v>
      </c>
      <c r="P9" s="107">
        <f>ROUND('VHČ 2014 (v Kč)'!P9/1000,0)</f>
        <v>148</v>
      </c>
      <c r="Q9" s="153">
        <f>ROUND('VHČ 2014 (v Kč)'!Q9/1000,0)</f>
        <v>11</v>
      </c>
      <c r="R9" s="165">
        <f>ROUND('VHČ 2014 (v Kč)'!R9/1000,0)</f>
        <v>25756</v>
      </c>
      <c r="S9" s="106">
        <f>ROUND('VHČ 2014 (v Kč)'!S9/1000,0)</f>
        <v>6</v>
      </c>
      <c r="T9" s="106">
        <f>ROUND('VHČ 2014 (v Kč)'!T9/1000,0)</f>
        <v>820</v>
      </c>
      <c r="U9" s="106">
        <f>ROUND('VHČ 2014 (v Kč)'!U9/1000,0)</f>
        <v>629</v>
      </c>
      <c r="V9" s="106">
        <f>ROUND('VHČ 2014 (v Kč)'!V9/1000,0)</f>
        <v>298</v>
      </c>
      <c r="W9" s="91">
        <f>ROUND('VHČ 2014 (v Kč)'!W9/1000,0)</f>
        <v>384</v>
      </c>
      <c r="X9" s="153">
        <f>ROUND('VHČ 2014 (v Kč)'!X9/1000,0)-1</f>
        <v>942</v>
      </c>
      <c r="Y9" s="106">
        <f>ROUND('VHČ 2014 (v Kč)'!Y9/1000,0)</f>
        <v>657</v>
      </c>
      <c r="Z9" s="106">
        <f>ROUND('VHČ 2014 (v Kč)'!Z9/1000,0)</f>
        <v>31</v>
      </c>
      <c r="AA9" s="106">
        <f>ROUND('VHČ 2014 (v Kč)'!AA9/1000,0)</f>
        <v>7523</v>
      </c>
      <c r="AB9" s="106">
        <f>ROUND('VHČ 2014 (v Kč)'!AB9/1000,0)</f>
        <v>262</v>
      </c>
      <c r="AC9" s="271">
        <f>ROUND('VHČ 2014 (v Kč)'!AC9/1000,0)</f>
        <v>1006</v>
      </c>
    </row>
    <row r="10" spans="1:29" s="166" customFormat="1" ht="21" customHeight="1" thickBot="1" x14ac:dyDescent="0.35">
      <c r="A10" s="23">
        <v>6</v>
      </c>
      <c r="B10" s="24"/>
      <c r="C10" s="25" t="s">
        <v>41</v>
      </c>
      <c r="D10" s="92">
        <f>SUM(D5:D9)</f>
        <v>2156232</v>
      </c>
      <c r="E10" s="93">
        <f>SUM(E5:E9)</f>
        <v>616610</v>
      </c>
      <c r="F10" s="272">
        <f>SUM(F5:F9)</f>
        <v>10478</v>
      </c>
      <c r="G10" s="94">
        <f>SUM(G5:G9)</f>
        <v>1529144</v>
      </c>
      <c r="H10" s="119">
        <f>SUM(H5:H9)</f>
        <v>366583</v>
      </c>
      <c r="I10" s="92">
        <f t="shared" ref="I10:AC10" si="0">SUM(I5:I9)</f>
        <v>819</v>
      </c>
      <c r="J10" s="146">
        <f t="shared" si="0"/>
        <v>47999</v>
      </c>
      <c r="K10" s="273">
        <f t="shared" si="0"/>
        <v>40029</v>
      </c>
      <c r="L10" s="273">
        <f t="shared" si="0"/>
        <v>77554</v>
      </c>
      <c r="M10" s="274">
        <f t="shared" si="0"/>
        <v>670</v>
      </c>
      <c r="N10" s="274">
        <f t="shared" si="0"/>
        <v>79439</v>
      </c>
      <c r="O10" s="274">
        <f t="shared" si="0"/>
        <v>85226</v>
      </c>
      <c r="P10" s="96">
        <f t="shared" si="0"/>
        <v>3896</v>
      </c>
      <c r="Q10" s="95">
        <f t="shared" si="0"/>
        <v>8736</v>
      </c>
      <c r="R10" s="138">
        <f t="shared" si="0"/>
        <v>287705</v>
      </c>
      <c r="S10" s="274">
        <f t="shared" si="0"/>
        <v>5004</v>
      </c>
      <c r="T10" s="274">
        <f t="shared" si="0"/>
        <v>110837</v>
      </c>
      <c r="U10" s="274">
        <f t="shared" si="0"/>
        <v>52642</v>
      </c>
      <c r="V10" s="274">
        <f t="shared" si="0"/>
        <v>45265</v>
      </c>
      <c r="W10" s="98">
        <f t="shared" si="0"/>
        <v>36737</v>
      </c>
      <c r="X10" s="95">
        <f t="shared" si="0"/>
        <v>112501</v>
      </c>
      <c r="Y10" s="274">
        <f t="shared" si="0"/>
        <v>36128</v>
      </c>
      <c r="Z10" s="274">
        <f t="shared" si="0"/>
        <v>502</v>
      </c>
      <c r="AA10" s="274">
        <f t="shared" si="0"/>
        <v>106622</v>
      </c>
      <c r="AB10" s="274">
        <f t="shared" si="0"/>
        <v>998</v>
      </c>
      <c r="AC10" s="275">
        <f t="shared" si="0"/>
        <v>23252</v>
      </c>
    </row>
    <row r="11" spans="1:29" s="166" customFormat="1" ht="18" customHeight="1" x14ac:dyDescent="0.3">
      <c r="A11" s="29"/>
      <c r="B11" s="30"/>
      <c r="C11" s="14"/>
      <c r="D11" s="99"/>
      <c r="E11" s="100"/>
      <c r="F11" s="101"/>
      <c r="G11" s="100"/>
      <c r="H11" s="102"/>
      <c r="I11" s="157"/>
      <c r="J11" s="145"/>
      <c r="K11" s="103"/>
      <c r="L11" s="103"/>
      <c r="M11" s="103"/>
      <c r="N11" s="103"/>
      <c r="O11" s="103"/>
      <c r="P11" s="104"/>
      <c r="Q11" s="151"/>
      <c r="R11" s="139"/>
      <c r="S11" s="103"/>
      <c r="T11" s="103"/>
      <c r="U11" s="103"/>
      <c r="V11" s="103"/>
      <c r="W11" s="105"/>
      <c r="X11" s="151"/>
      <c r="Y11" s="103"/>
      <c r="Z11" s="103"/>
      <c r="AA11" s="103"/>
      <c r="AB11" s="103"/>
      <c r="AC11" s="276"/>
    </row>
    <row r="12" spans="1:29" s="166" customFormat="1" ht="21.75" customHeight="1" x14ac:dyDescent="0.3">
      <c r="A12" s="34"/>
      <c r="B12" s="35"/>
      <c r="C12" s="6" t="s">
        <v>49</v>
      </c>
      <c r="D12" s="7"/>
      <c r="E12" s="8"/>
      <c r="F12" s="9"/>
      <c r="G12" s="8"/>
      <c r="H12" s="84"/>
      <c r="I12" s="156"/>
      <c r="J12" s="144"/>
      <c r="K12" s="85"/>
      <c r="L12" s="85"/>
      <c r="M12" s="85"/>
      <c r="N12" s="85"/>
      <c r="O12" s="85"/>
      <c r="P12" s="86"/>
      <c r="Q12" s="150"/>
      <c r="R12" s="137"/>
      <c r="S12" s="85"/>
      <c r="T12" s="85"/>
      <c r="U12" s="85"/>
      <c r="V12" s="85"/>
      <c r="W12" s="87"/>
      <c r="X12" s="150"/>
      <c r="Y12" s="85"/>
      <c r="Z12" s="85"/>
      <c r="AA12" s="85"/>
      <c r="AB12" s="85"/>
      <c r="AC12" s="270"/>
    </row>
    <row r="13" spans="1:29" s="166" customFormat="1" ht="18" customHeight="1" x14ac:dyDescent="0.3">
      <c r="A13" s="12">
        <v>7</v>
      </c>
      <c r="B13" s="13">
        <v>501.2</v>
      </c>
      <c r="C13" s="14" t="s">
        <v>28</v>
      </c>
      <c r="D13" s="81">
        <f t="shared" ref="D13:D19" si="1">SUM(E13:G13)</f>
        <v>37694</v>
      </c>
      <c r="E13" s="90">
        <f>ROUND('VHČ 2014 (v Kč)'!E13/1000,0)</f>
        <v>2026</v>
      </c>
      <c r="F13" s="64">
        <f>ROUND('VHČ 2014 (v Kč)'!F13/1000,0)</f>
        <v>6549</v>
      </c>
      <c r="G13" s="83">
        <f t="shared" ref="G13:G19" si="2">SUM(H13:AC13)</f>
        <v>29119</v>
      </c>
      <c r="H13" s="90">
        <f>ROUND('VHČ 2014 (v Kč)'!H13/1000,0)</f>
        <v>4379</v>
      </c>
      <c r="I13" s="156">
        <f>ROUND('VHČ 2014 (v Kč)'!I13/1000,0)</f>
        <v>21</v>
      </c>
      <c r="J13" s="144">
        <f>ROUND('VHČ 2014 (v Kč)'!J13/1000,0)</f>
        <v>368</v>
      </c>
      <c r="K13" s="85">
        <f>ROUND('VHČ 2014 (v Kč)'!K13/1000,0)</f>
        <v>23</v>
      </c>
      <c r="L13" s="85">
        <f>ROUND('VHČ 2014 (v Kč)'!L13/1000,0)</f>
        <v>525</v>
      </c>
      <c r="M13" s="85">
        <f>ROUND('VHČ 2014 (v Kč)'!M13/1000,0)</f>
        <v>1</v>
      </c>
      <c r="N13" s="85">
        <f>ROUND('VHČ 2014 (v Kč)'!N13/1000,0)</f>
        <v>201</v>
      </c>
      <c r="O13" s="85">
        <f>ROUND('VHČ 2014 (v Kč)'!O13/1000,0)</f>
        <v>357</v>
      </c>
      <c r="P13" s="86">
        <f>ROUND('VHČ 2014 (v Kč)'!P13/1000,0)</f>
        <v>34</v>
      </c>
      <c r="Q13" s="137">
        <f>ROUND('VHČ 2014 (v Kč)'!Q13/1000,0)</f>
        <v>17</v>
      </c>
      <c r="R13" s="137">
        <f>ROUND('VHČ 2014 (v Kč)'!R13/1000,0)</f>
        <v>9676</v>
      </c>
      <c r="S13" s="85">
        <f>ROUND('VHČ 2014 (v Kč)'!S13/1000,0)</f>
        <v>242</v>
      </c>
      <c r="T13" s="85">
        <f>ROUND('VHČ 2014 (v Kč)'!T13/1000,0)</f>
        <v>484</v>
      </c>
      <c r="U13" s="85">
        <f>ROUND('VHČ 2014 (v Kč)'!U13/1000,0)</f>
        <v>6707</v>
      </c>
      <c r="V13" s="85">
        <f>ROUND('VHČ 2014 (v Kč)'!V13/1000,0)</f>
        <v>40</v>
      </c>
      <c r="W13" s="87">
        <f>ROUND('VHČ 2014 (v Kč)'!W13/1000,0)</f>
        <v>22</v>
      </c>
      <c r="X13" s="150">
        <f>ROUND('VHČ 2014 (v Kč)'!X13/1000,0)</f>
        <v>17</v>
      </c>
      <c r="Y13" s="85">
        <f>ROUND('VHČ 2014 (v Kč)'!Y13/1000,0)</f>
        <v>162</v>
      </c>
      <c r="Z13" s="85">
        <f>ROUND('VHČ 2014 (v Kč)'!Z13/1000,0)</f>
        <v>36</v>
      </c>
      <c r="AA13" s="85">
        <f>ROUND('VHČ 2014 (v Kč)'!AA13/1000,0)</f>
        <v>5725</v>
      </c>
      <c r="AB13" s="85">
        <f>ROUND('VHČ 2014 (v Kč)'!AB13/1000,0)</f>
        <v>1</v>
      </c>
      <c r="AC13" s="270">
        <f>ROUND('VHČ 2014 (v Kč)'!AC13/1000,0)</f>
        <v>81</v>
      </c>
    </row>
    <row r="14" spans="1:29" s="166" customFormat="1" ht="18" customHeight="1" x14ac:dyDescent="0.3">
      <c r="A14" s="12">
        <v>8</v>
      </c>
      <c r="B14" s="13">
        <v>511</v>
      </c>
      <c r="C14" s="14" t="s">
        <v>29</v>
      </c>
      <c r="D14" s="81">
        <f t="shared" si="1"/>
        <v>605866</v>
      </c>
      <c r="E14" s="84">
        <f>ROUND('VHČ 2014 (v Kč)'!E14/1000,0)</f>
        <v>817</v>
      </c>
      <c r="F14" s="64"/>
      <c r="G14" s="83">
        <f t="shared" si="2"/>
        <v>605049</v>
      </c>
      <c r="H14" s="84">
        <f>ROUND('VHČ 2014 (v Kč)'!H14/1000,0)</f>
        <v>240415</v>
      </c>
      <c r="I14" s="156">
        <f>ROUND('VHČ 2014 (v Kč)'!I14/1000,0)</f>
        <v>159</v>
      </c>
      <c r="J14" s="144">
        <f>ROUND('VHČ 2014 (v Kč)'!J14/1000,0)</f>
        <v>6745</v>
      </c>
      <c r="K14" s="85">
        <f>ROUND('VHČ 2014 (v Kč)'!K14/1000,0)</f>
        <v>18311</v>
      </c>
      <c r="L14" s="85">
        <f>ROUND('VHČ 2014 (v Kč)'!L14/1000,0)</f>
        <v>34640</v>
      </c>
      <c r="M14" s="85">
        <f>ROUND('VHČ 2014 (v Kč)'!M14/1000,0)</f>
        <v>40</v>
      </c>
      <c r="N14" s="85">
        <f>ROUND('VHČ 2014 (v Kč)'!N14/1000,0)</f>
        <v>18284</v>
      </c>
      <c r="O14" s="85">
        <f>ROUND('VHČ 2014 (v Kč)'!O14/1000,0)</f>
        <v>31380</v>
      </c>
      <c r="P14" s="86">
        <f>ROUND('VHČ 2014 (v Kč)'!P14/1000,0)</f>
        <v>629</v>
      </c>
      <c r="Q14" s="137">
        <f>ROUND('VHČ 2014 (v Kč)'!Q14/1000,0)</f>
        <v>825</v>
      </c>
      <c r="R14" s="137">
        <f>ROUND('VHČ 2014 (v Kč)'!R14/1000,0)</f>
        <v>106544</v>
      </c>
      <c r="S14" s="85">
        <f>ROUND('VHČ 2014 (v Kč)'!S14/1000,0)</f>
        <v>2059</v>
      </c>
      <c r="T14" s="85">
        <f>ROUND('VHČ 2014 (v Kč)'!T14/1000,0)</f>
        <v>21666</v>
      </c>
      <c r="U14" s="85">
        <f>ROUND('VHČ 2014 (v Kč)'!U14/1000,0)</f>
        <v>22724</v>
      </c>
      <c r="V14" s="85">
        <f>ROUND('VHČ 2014 (v Kč)'!V14/1000,0)</f>
        <v>15266</v>
      </c>
      <c r="W14" s="87">
        <f>ROUND('VHČ 2014 (v Kč)'!W14/1000,0)</f>
        <v>9355</v>
      </c>
      <c r="X14" s="150">
        <f>ROUND('VHČ 2014 (v Kč)'!X14/1000,0)</f>
        <v>21296</v>
      </c>
      <c r="Y14" s="85">
        <f>ROUND('VHČ 2014 (v Kč)'!Y14/1000,0)</f>
        <v>13590</v>
      </c>
      <c r="Z14" s="85">
        <f>ROUND('VHČ 2014 (v Kč)'!Z14/1000,0)</f>
        <v>46</v>
      </c>
      <c r="AA14" s="85">
        <f>ROUND('VHČ 2014 (v Kč)'!AA14/1000,0)</f>
        <v>29943</v>
      </c>
      <c r="AB14" s="85">
        <f>ROUND('VHČ 2014 (v Kč)'!AB14/1000,0)</f>
        <v>186</v>
      </c>
      <c r="AC14" s="270">
        <f>ROUND('VHČ 2014 (v Kč)'!AC14/1000,0)</f>
        <v>10946</v>
      </c>
    </row>
    <row r="15" spans="1:29" s="166" customFormat="1" ht="18" customHeight="1" x14ac:dyDescent="0.3">
      <c r="A15" s="12">
        <v>9</v>
      </c>
      <c r="B15" s="13" t="s">
        <v>30</v>
      </c>
      <c r="C15" s="14" t="s">
        <v>31</v>
      </c>
      <c r="D15" s="81">
        <f t="shared" si="1"/>
        <v>172907</v>
      </c>
      <c r="E15" s="84">
        <f>ROUND('VHČ 2014 (v Kč)'!E15/1000,0)</f>
        <v>49789</v>
      </c>
      <c r="F15" s="64">
        <f>ROUND('VHČ 2014 (v Kč)'!F15/1000,0)</f>
        <v>162</v>
      </c>
      <c r="G15" s="83">
        <f t="shared" si="2"/>
        <v>122956</v>
      </c>
      <c r="H15" s="84">
        <f>ROUND('VHČ 2014 (v Kč)'!H15/1000,0)</f>
        <v>20739</v>
      </c>
      <c r="I15" s="156">
        <f>ROUND('VHČ 2014 (v Kč)'!I15/1000,0)</f>
        <v>38</v>
      </c>
      <c r="J15" s="144">
        <f>ROUND('VHČ 2014 (v Kč)'!J15/1000,0)</f>
        <v>1771</v>
      </c>
      <c r="K15" s="85">
        <f>ROUND('VHČ 2014 (v Kč)'!K15/1000,0)</f>
        <v>1930</v>
      </c>
      <c r="L15" s="85">
        <f>ROUND('VHČ 2014 (v Kč)'!L15/1000,0)</f>
        <v>7707</v>
      </c>
      <c r="M15" s="85">
        <f>ROUND('VHČ 2014 (v Kč)'!M15/1000,0)</f>
        <v>63</v>
      </c>
      <c r="N15" s="85">
        <f>ROUND('VHČ 2014 (v Kč)'!N15/1000,0)</f>
        <v>7082</v>
      </c>
      <c r="O15" s="85">
        <f>ROUND('VHČ 2014 (v Kč)'!O15/1000,0)</f>
        <v>6249</v>
      </c>
      <c r="P15" s="86">
        <f>ROUND('VHČ 2014 (v Kč)'!P15/1000,0)</f>
        <v>326</v>
      </c>
      <c r="Q15" s="137">
        <f>ROUND('VHČ 2014 (v Kč)'!Q15/1000,0)</f>
        <v>219</v>
      </c>
      <c r="R15" s="137">
        <f>ROUND('VHČ 2014 (v Kč)'!R15/1000,0)</f>
        <v>36981</v>
      </c>
      <c r="S15" s="85">
        <f>ROUND('VHČ 2014 (v Kč)'!S15/1000,0)</f>
        <v>710</v>
      </c>
      <c r="T15" s="85">
        <f>ROUND('VHČ 2014 (v Kč)'!T15/1000,0)</f>
        <v>10581</v>
      </c>
      <c r="U15" s="85">
        <f>ROUND('VHČ 2014 (v Kč)'!U15/1000,0)</f>
        <v>3410</v>
      </c>
      <c r="V15" s="85">
        <f>ROUND('VHČ 2014 (v Kč)'!V15/1000,0)</f>
        <v>2157</v>
      </c>
      <c r="W15" s="87">
        <f>ROUND('VHČ 2014 (v Kč)'!W15/1000,0)</f>
        <v>3316</v>
      </c>
      <c r="X15" s="150">
        <f>ROUND('VHČ 2014 (v Kč)'!X15/1000,0)-1</f>
        <v>8642</v>
      </c>
      <c r="Y15" s="85">
        <f>ROUND('VHČ 2014 (v Kč)'!Y15/1000,0)-1</f>
        <v>2069</v>
      </c>
      <c r="Z15" s="85">
        <f>ROUND('VHČ 2014 (v Kč)'!Z15/1000,0)</f>
        <v>44</v>
      </c>
      <c r="AA15" s="85">
        <f>ROUND('VHČ 2014 (v Kč)'!AA15/1000,0)</f>
        <v>7993</v>
      </c>
      <c r="AB15" s="85">
        <f>ROUND('VHČ 2014 (v Kč)'!AB15/1000,0)</f>
        <v>258</v>
      </c>
      <c r="AC15" s="270">
        <f>ROUND('VHČ 2014 (v Kč)'!AC15/1000,0)</f>
        <v>671</v>
      </c>
    </row>
    <row r="16" spans="1:29" s="166" customFormat="1" ht="18" customHeight="1" x14ac:dyDescent="0.3">
      <c r="A16" s="12">
        <v>10</v>
      </c>
      <c r="B16" s="13" t="s">
        <v>32</v>
      </c>
      <c r="C16" s="14" t="s">
        <v>33</v>
      </c>
      <c r="D16" s="81">
        <f t="shared" si="1"/>
        <v>46591</v>
      </c>
      <c r="E16" s="84">
        <f>ROUND('VHČ 2014 (v Kč)'!E16/1000,0)</f>
        <v>0</v>
      </c>
      <c r="F16" s="64">
        <f>ROUND('VHČ 2014 (v Kč)'!F16/1000,0)</f>
        <v>3560</v>
      </c>
      <c r="G16" s="83">
        <f t="shared" si="2"/>
        <v>43031</v>
      </c>
      <c r="H16" s="84">
        <f>ROUND('VHČ 2014 (v Kč)'!H16/1000,0)</f>
        <v>8980</v>
      </c>
      <c r="I16" s="156">
        <f>ROUND('VHČ 2014 (v Kč)'!I16/1000,0)</f>
        <v>0</v>
      </c>
      <c r="J16" s="144">
        <f>ROUND('VHČ 2014 (v Kč)'!J16/1000,0)</f>
        <v>5578</v>
      </c>
      <c r="K16" s="85">
        <f>ROUND('VHČ 2014 (v Kč)'!K16/1000,0)</f>
        <v>2897</v>
      </c>
      <c r="L16" s="85">
        <f>ROUND('VHČ 2014 (v Kč)'!L16/1000,0)</f>
        <v>3633</v>
      </c>
      <c r="M16" s="85">
        <f>ROUND('VHČ 2014 (v Kč)'!M16/1000,0)</f>
        <v>10</v>
      </c>
      <c r="N16" s="85">
        <f>ROUND('VHČ 2014 (v Kč)'!N16/1000,0)</f>
        <v>0</v>
      </c>
      <c r="O16" s="85">
        <f>ROUND('VHČ 2014 (v Kč)'!O16/1000,0)</f>
        <v>0</v>
      </c>
      <c r="P16" s="86">
        <f>ROUND('VHČ 2014 (v Kč)'!P16/1000,0)</f>
        <v>0</v>
      </c>
      <c r="Q16" s="137">
        <f>ROUND('VHČ 2014 (v Kč)'!Q16/1000,0)</f>
        <v>623</v>
      </c>
      <c r="R16" s="137">
        <f>ROUND('VHČ 2014 (v Kč)'!R16/1000,0)</f>
        <v>2365</v>
      </c>
      <c r="S16" s="85">
        <f>ROUND('VHČ 2014 (v Kč)'!S16/1000,0)</f>
        <v>133</v>
      </c>
      <c r="T16" s="85">
        <f>ROUND('VHČ 2014 (v Kč)'!T16/1000,0)</f>
        <v>0</v>
      </c>
      <c r="U16" s="85">
        <f>ROUND('VHČ 2014 (v Kč)'!U16/1000,0)</f>
        <v>4820</v>
      </c>
      <c r="V16" s="85">
        <f>ROUND('VHČ 2014 (v Kč)'!V16/1000,0)</f>
        <v>2007</v>
      </c>
      <c r="W16" s="87">
        <f>ROUND('VHČ 2014 (v Kč)'!W16/1000,0)</f>
        <v>0</v>
      </c>
      <c r="X16" s="150">
        <f>ROUND('VHČ 2014 (v Kč)'!X16/1000,0)</f>
        <v>0</v>
      </c>
      <c r="Y16" s="85">
        <f>ROUND('VHČ 2014 (v Kč)'!Y16/1000,0)</f>
        <v>2718</v>
      </c>
      <c r="Z16" s="85">
        <f>ROUND('VHČ 2014 (v Kč)'!Z16/1000,0)</f>
        <v>36</v>
      </c>
      <c r="AA16" s="85">
        <f>ROUND('VHČ 2014 (v Kč)'!AA16/1000,0)</f>
        <v>7264</v>
      </c>
      <c r="AB16" s="85">
        <f>ROUND('VHČ 2014 (v Kč)'!AB16/1000,0)</f>
        <v>0</v>
      </c>
      <c r="AC16" s="270">
        <f>ROUND('VHČ 2014 (v Kč)'!AC16/1000,0)</f>
        <v>1967</v>
      </c>
    </row>
    <row r="17" spans="1:219" s="166" customFormat="1" ht="18" customHeight="1" x14ac:dyDescent="0.3">
      <c r="A17" s="12">
        <v>11</v>
      </c>
      <c r="B17" s="13" t="s">
        <v>34</v>
      </c>
      <c r="C17" s="14" t="s">
        <v>35</v>
      </c>
      <c r="D17" s="81">
        <f t="shared" si="1"/>
        <v>2360</v>
      </c>
      <c r="E17" s="84">
        <f>ROUND('VHČ 2014 (v Kč)'!E17/1000,0)</f>
        <v>0</v>
      </c>
      <c r="F17" s="64"/>
      <c r="G17" s="83">
        <f t="shared" si="2"/>
        <v>2360</v>
      </c>
      <c r="H17" s="84">
        <f>ROUND('VHČ 2014 (v Kč)'!H17/1000,0)</f>
        <v>1855</v>
      </c>
      <c r="I17" s="156">
        <f>ROUND('VHČ 2014 (v Kč)'!I17/1000,0)</f>
        <v>0</v>
      </c>
      <c r="J17" s="144">
        <f>ROUND('VHČ 2014 (v Kč)'!J17/1000,0)</f>
        <v>290</v>
      </c>
      <c r="K17" s="85">
        <f>ROUND('VHČ 2014 (v Kč)'!K17/1000,0)</f>
        <v>75</v>
      </c>
      <c r="L17" s="85">
        <f>ROUND('VHČ 2014 (v Kč)'!L17/1000,0)</f>
        <v>56</v>
      </c>
      <c r="M17" s="85">
        <f>ROUND('VHČ 2014 (v Kč)'!M17/1000,0)</f>
        <v>0</v>
      </c>
      <c r="N17" s="85">
        <f>ROUND('VHČ 2014 (v Kč)'!N17/1000,0)</f>
        <v>2</v>
      </c>
      <c r="O17" s="85">
        <f>ROUND('VHČ 2014 (v Kč)'!O17/1000,0)</f>
        <v>0</v>
      </c>
      <c r="P17" s="86">
        <f>ROUND('VHČ 2014 (v Kč)'!P17/1000,0)</f>
        <v>0</v>
      </c>
      <c r="Q17" s="137">
        <f>ROUND('VHČ 2014 (v Kč)'!Q17/1000,0)</f>
        <v>0</v>
      </c>
      <c r="R17" s="137">
        <f>ROUND('VHČ 2014 (v Kč)'!R17/1000,0)</f>
        <v>0</v>
      </c>
      <c r="S17" s="85">
        <f>ROUND('VHČ 2014 (v Kč)'!S17/1000,0)</f>
        <v>0</v>
      </c>
      <c r="T17" s="85">
        <f>ROUND('VHČ 2014 (v Kč)'!T17/1000,0)</f>
        <v>0</v>
      </c>
      <c r="U17" s="85">
        <f>ROUND('VHČ 2014 (v Kč)'!U17/1000,0)</f>
        <v>63</v>
      </c>
      <c r="V17" s="85">
        <f>ROUND('VHČ 2014 (v Kč)'!V17/1000,0)</f>
        <v>5</v>
      </c>
      <c r="W17" s="87">
        <f>ROUND('VHČ 2014 (v Kč)'!W17/1000,0)</f>
        <v>7</v>
      </c>
      <c r="X17" s="150">
        <f>ROUND('VHČ 2014 (v Kč)'!X17/1000,0)</f>
        <v>0</v>
      </c>
      <c r="Y17" s="85">
        <f>ROUND('VHČ 2014 (v Kč)'!Y17/1000,0)</f>
        <v>0</v>
      </c>
      <c r="Z17" s="85">
        <f>ROUND('VHČ 2014 (v Kč)'!Z17/1000,0)</f>
        <v>0</v>
      </c>
      <c r="AA17" s="85">
        <f>ROUND('VHČ 2014 (v Kč)'!AA17/1000,0)</f>
        <v>0</v>
      </c>
      <c r="AB17" s="85">
        <f>ROUND('VHČ 2014 (v Kč)'!AB17/1000,0)</f>
        <v>0</v>
      </c>
      <c r="AC17" s="270">
        <f>ROUND('VHČ 2014 (v Kč)'!AC17/1000,0)</f>
        <v>7</v>
      </c>
    </row>
    <row r="18" spans="1:219" s="166" customFormat="1" ht="18" customHeight="1" x14ac:dyDescent="0.3">
      <c r="A18" s="12">
        <v>12</v>
      </c>
      <c r="B18" s="13">
        <v>551</v>
      </c>
      <c r="C18" s="167" t="s">
        <v>66</v>
      </c>
      <c r="D18" s="81">
        <f t="shared" si="1"/>
        <v>485916</v>
      </c>
      <c r="E18" s="84">
        <f>ROUND('VHČ 2014 (v Kč)'!E18/1000,0)</f>
        <v>342460</v>
      </c>
      <c r="F18" s="64">
        <f>ROUND('VHČ 2014 (v Kč)'!F18/1000,0)</f>
        <v>0</v>
      </c>
      <c r="G18" s="83">
        <f t="shared" si="2"/>
        <v>143456</v>
      </c>
      <c r="H18" s="84">
        <f>ROUND('VHČ 2014 (v Kč)'!H18/1000,0)</f>
        <v>25370</v>
      </c>
      <c r="I18" s="156">
        <f>ROUND('VHČ 2014 (v Kč)'!I18/1000,0)</f>
        <v>574</v>
      </c>
      <c r="J18" s="144">
        <f>ROUND('VHČ 2014 (v Kč)'!J18/1000,0)</f>
        <v>4350</v>
      </c>
      <c r="K18" s="85">
        <f>ROUND('VHČ 2014 (v Kč)'!K18/1000,0)</f>
        <v>6297</v>
      </c>
      <c r="L18" s="85">
        <f>ROUND('VHČ 2014 (v Kč)'!L18/1000,0)</f>
        <v>8765</v>
      </c>
      <c r="M18" s="85">
        <f>ROUND('VHČ 2014 (v Kč)'!M18/1000,0)</f>
        <v>214</v>
      </c>
      <c r="N18" s="85">
        <f>ROUND('VHČ 2014 (v Kč)'!N18/1000,0)+1</f>
        <v>8635</v>
      </c>
      <c r="O18" s="85">
        <f>ROUND('VHČ 2014 (v Kč)'!O18/1000,0)</f>
        <v>11251</v>
      </c>
      <c r="P18" s="86">
        <f>ROUND('VHČ 2014 (v Kč)'!P18/1000,0)</f>
        <v>806</v>
      </c>
      <c r="Q18" s="137">
        <f>ROUND('VHČ 2014 (v Kč)'!Q18/1000,0)</f>
        <v>958</v>
      </c>
      <c r="R18" s="137">
        <f>ROUND('VHČ 2014 (v Kč)'!R18/1000,0)</f>
        <v>23666</v>
      </c>
      <c r="S18" s="85">
        <f>ROUND('VHČ 2014 (v Kč)'!S18/1000,0)</f>
        <v>336</v>
      </c>
      <c r="T18" s="85">
        <f>ROUND('VHČ 2014 (v Kč)'!T18/1000,0)</f>
        <v>10559</v>
      </c>
      <c r="U18" s="85">
        <f>ROUND('VHČ 2014 (v Kč)'!U18/1000,0)</f>
        <v>4782</v>
      </c>
      <c r="V18" s="85">
        <f>ROUND('VHČ 2014 (v Kč)'!V18/1000,0)</f>
        <v>6248</v>
      </c>
      <c r="W18" s="87">
        <f>ROUND('VHČ 2014 (v Kč)'!W18/1000,0)</f>
        <v>4703</v>
      </c>
      <c r="X18" s="150">
        <f>ROUND('VHČ 2014 (v Kč)'!X18/1000,0)</f>
        <v>11396</v>
      </c>
      <c r="Y18" s="85">
        <f>ROUND('VHČ 2014 (v Kč)'!Y18/1000,0)</f>
        <v>5448</v>
      </c>
      <c r="Z18" s="85">
        <f>ROUND('VHČ 2014 (v Kč)'!Z18/1000,0)</f>
        <v>134</v>
      </c>
      <c r="AA18" s="85">
        <f>ROUND('VHČ 2014 (v Kč)'!AA18/1000,0)</f>
        <v>5644</v>
      </c>
      <c r="AB18" s="85">
        <f>ROUND('VHČ 2014 (v Kč)'!AB18/1000,0)</f>
        <v>244</v>
      </c>
      <c r="AC18" s="270">
        <f>ROUND('VHČ 2014 (v Kč)'!AC18/1000,0)</f>
        <v>3076</v>
      </c>
    </row>
    <row r="19" spans="1:219" s="166" customFormat="1" ht="18" customHeight="1" thickBot="1" x14ac:dyDescent="0.35">
      <c r="A19" s="12">
        <v>13</v>
      </c>
      <c r="B19" s="13" t="s">
        <v>44</v>
      </c>
      <c r="C19" s="14" t="s">
        <v>36</v>
      </c>
      <c r="D19" s="81">
        <f t="shared" si="1"/>
        <v>136146</v>
      </c>
      <c r="E19" s="84">
        <f>ROUND('VHČ 2014 (v Kč)'!E19/1000,0)</f>
        <v>1810</v>
      </c>
      <c r="F19" s="64">
        <f>ROUND('VHČ 2014 (v Kč)'!F19/1000,0)</f>
        <v>-446</v>
      </c>
      <c r="G19" s="88">
        <f t="shared" si="2"/>
        <v>134782</v>
      </c>
      <c r="H19" s="90">
        <f>ROUND('VHČ 2014 (v Kč)'!H19/1000,0)</f>
        <v>73689</v>
      </c>
      <c r="I19" s="156">
        <f>ROUND('VHČ 2014 (v Kč)'!I19/1000,0)</f>
        <v>1044</v>
      </c>
      <c r="J19" s="144">
        <f>ROUND('VHČ 2014 (v Kč)'!J19/1000,0)</f>
        <v>10042</v>
      </c>
      <c r="K19" s="85">
        <f>ROUND('VHČ 2014 (v Kč)'!K19/1000,0)</f>
        <v>2335</v>
      </c>
      <c r="L19" s="85">
        <f>ROUND('VHČ 2014 (v Kč)'!L19/1000,0)</f>
        <v>4061</v>
      </c>
      <c r="M19" s="85">
        <f>ROUND('VHČ 2014 (v Kč)'!M19/1000,0)</f>
        <v>0</v>
      </c>
      <c r="N19" s="85">
        <f>ROUND('VHČ 2014 (v Kč)'!N19/1000,0)</f>
        <v>441</v>
      </c>
      <c r="O19" s="85">
        <f>ROUND('VHČ 2014 (v Kč)'!O19/1000,0)</f>
        <v>683</v>
      </c>
      <c r="P19" s="86">
        <f>ROUND('VHČ 2014 (v Kč)'!P19/1000,0)</f>
        <v>0</v>
      </c>
      <c r="Q19" s="137">
        <f>ROUND('VHČ 2014 (v Kč)'!Q19/1000,0)</f>
        <v>21</v>
      </c>
      <c r="R19" s="137">
        <f>ROUND('VHČ 2014 (v Kč)'!R19/1000,0)</f>
        <v>21635</v>
      </c>
      <c r="S19" s="85">
        <f>ROUND('VHČ 2014 (v Kč)'!S19/1000,0)</f>
        <v>160</v>
      </c>
      <c r="T19" s="85">
        <f>ROUND('VHČ 2014 (v Kč)'!T19/1000,0)</f>
        <v>435</v>
      </c>
      <c r="U19" s="85">
        <f>ROUND('VHČ 2014 (v Kč)'!U19/1000,0)</f>
        <v>1168</v>
      </c>
      <c r="V19" s="85">
        <f>ROUND('VHČ 2014 (v Kč)'!V19/1000,0)</f>
        <v>723</v>
      </c>
      <c r="W19" s="87">
        <f>ROUND('VHČ 2014 (v Kč)'!W19/1000,0)</f>
        <v>4298</v>
      </c>
      <c r="X19" s="150">
        <f>ROUND('VHČ 2014 (v Kč)'!X19/1000,0)</f>
        <v>7325</v>
      </c>
      <c r="Y19" s="85">
        <f>ROUND('VHČ 2014 (v Kč)'!Y19/1000,0)</f>
        <v>901</v>
      </c>
      <c r="Z19" s="85">
        <f>ROUND('VHČ 2014 (v Kč)'!Z19/1000,0)</f>
        <v>11</v>
      </c>
      <c r="AA19" s="85">
        <f>ROUND('VHČ 2014 (v Kč)'!AA19/1000,0)</f>
        <v>2515</v>
      </c>
      <c r="AB19" s="85">
        <f>ROUND('VHČ 2014 (v Kč)'!AB19/1000,0)-1</f>
        <v>-5</v>
      </c>
      <c r="AC19" s="270">
        <f>ROUND('VHČ 2014 (v Kč)'!AC19/1000,0)</f>
        <v>3300</v>
      </c>
    </row>
    <row r="20" spans="1:219" s="166" customFormat="1" ht="23.25" customHeight="1" thickBot="1" x14ac:dyDescent="0.35">
      <c r="A20" s="23">
        <v>14</v>
      </c>
      <c r="B20" s="24"/>
      <c r="C20" s="25" t="s">
        <v>54</v>
      </c>
      <c r="D20" s="108">
        <f>SUM(D13:D19)</f>
        <v>1487480</v>
      </c>
      <c r="E20" s="109">
        <f>SUM(E13:E19)</f>
        <v>396902</v>
      </c>
      <c r="F20" s="110">
        <f>SUM(F13:F19)</f>
        <v>9825</v>
      </c>
      <c r="G20" s="97">
        <f>SUM(G13:G19)</f>
        <v>1080753</v>
      </c>
      <c r="H20" s="119">
        <f>SUM(H13:H19)</f>
        <v>375427</v>
      </c>
      <c r="I20" s="92">
        <f t="shared" ref="I20:AC20" si="3">SUM(I13:I19)</f>
        <v>1836</v>
      </c>
      <c r="J20" s="146">
        <f t="shared" si="3"/>
        <v>29144</v>
      </c>
      <c r="K20" s="273">
        <f t="shared" si="3"/>
        <v>31868</v>
      </c>
      <c r="L20" s="273">
        <f t="shared" si="3"/>
        <v>59387</v>
      </c>
      <c r="M20" s="274">
        <f t="shared" si="3"/>
        <v>328</v>
      </c>
      <c r="N20" s="274">
        <f t="shared" si="3"/>
        <v>34645</v>
      </c>
      <c r="O20" s="274">
        <f t="shared" si="3"/>
        <v>49920</v>
      </c>
      <c r="P20" s="96">
        <f t="shared" si="3"/>
        <v>1795</v>
      </c>
      <c r="Q20" s="95">
        <f t="shared" si="3"/>
        <v>2663</v>
      </c>
      <c r="R20" s="138">
        <f t="shared" si="3"/>
        <v>200867</v>
      </c>
      <c r="S20" s="274">
        <f t="shared" si="3"/>
        <v>3640</v>
      </c>
      <c r="T20" s="274">
        <f t="shared" si="3"/>
        <v>43725</v>
      </c>
      <c r="U20" s="274">
        <f t="shared" si="3"/>
        <v>43674</v>
      </c>
      <c r="V20" s="274">
        <f t="shared" si="3"/>
        <v>26446</v>
      </c>
      <c r="W20" s="98">
        <f t="shared" si="3"/>
        <v>21701</v>
      </c>
      <c r="X20" s="95">
        <f t="shared" si="3"/>
        <v>48676</v>
      </c>
      <c r="Y20" s="274">
        <f t="shared" si="3"/>
        <v>24888</v>
      </c>
      <c r="Z20" s="274">
        <f t="shared" si="3"/>
        <v>307</v>
      </c>
      <c r="AA20" s="274">
        <f t="shared" si="3"/>
        <v>59084</v>
      </c>
      <c r="AB20" s="274">
        <f t="shared" si="3"/>
        <v>684</v>
      </c>
      <c r="AC20" s="275">
        <f t="shared" si="3"/>
        <v>20048</v>
      </c>
    </row>
    <row r="21" spans="1:219" s="166" customFormat="1" ht="18" customHeight="1" thickBot="1" x14ac:dyDescent="0.35">
      <c r="A21" s="2"/>
      <c r="B21" s="3"/>
      <c r="C21" s="42"/>
      <c r="D21" s="111"/>
      <c r="E21" s="112"/>
      <c r="F21" s="113"/>
      <c r="G21" s="112"/>
      <c r="H21" s="114"/>
      <c r="I21" s="117"/>
      <c r="J21" s="53"/>
      <c r="K21" s="115"/>
      <c r="L21" s="115"/>
      <c r="M21" s="115"/>
      <c r="N21" s="115"/>
      <c r="O21" s="115"/>
      <c r="P21" s="116"/>
      <c r="Q21" s="114"/>
      <c r="R21" s="140"/>
      <c r="S21" s="115"/>
      <c r="T21" s="115"/>
      <c r="U21" s="115"/>
      <c r="V21" s="115"/>
      <c r="W21" s="117"/>
      <c r="X21" s="114"/>
      <c r="Y21" s="115"/>
      <c r="Z21" s="115"/>
      <c r="AA21" s="115"/>
      <c r="AB21" s="115"/>
      <c r="AC21" s="277"/>
    </row>
    <row r="22" spans="1:219" s="168" customFormat="1" ht="24" customHeight="1" thickBot="1" x14ac:dyDescent="0.35">
      <c r="A22" s="23">
        <v>15</v>
      </c>
      <c r="B22" s="24"/>
      <c r="C22" s="25" t="s">
        <v>57</v>
      </c>
      <c r="D22" s="108">
        <f>SUM(D10-D20)</f>
        <v>668752</v>
      </c>
      <c r="E22" s="109">
        <f>0+E10-E20</f>
        <v>219708</v>
      </c>
      <c r="F22" s="118">
        <f>0+F10-F20</f>
        <v>653</v>
      </c>
      <c r="G22" s="109">
        <f t="shared" ref="G22:AC22" si="4">SUM(G10-G20)</f>
        <v>448391</v>
      </c>
      <c r="H22" s="119">
        <f t="shared" si="4"/>
        <v>-8844</v>
      </c>
      <c r="I22" s="92">
        <f t="shared" si="4"/>
        <v>-1017</v>
      </c>
      <c r="J22" s="146">
        <f t="shared" si="4"/>
        <v>18855</v>
      </c>
      <c r="K22" s="273">
        <f t="shared" si="4"/>
        <v>8161</v>
      </c>
      <c r="L22" s="273">
        <f t="shared" si="4"/>
        <v>18167</v>
      </c>
      <c r="M22" s="273">
        <f t="shared" si="4"/>
        <v>342</v>
      </c>
      <c r="N22" s="273">
        <f t="shared" si="4"/>
        <v>44794</v>
      </c>
      <c r="O22" s="273">
        <f t="shared" si="4"/>
        <v>35306</v>
      </c>
      <c r="P22" s="120">
        <f t="shared" si="4"/>
        <v>2101</v>
      </c>
      <c r="Q22" s="119">
        <f t="shared" si="4"/>
        <v>6073</v>
      </c>
      <c r="R22" s="141">
        <f t="shared" si="4"/>
        <v>86838</v>
      </c>
      <c r="S22" s="273">
        <f t="shared" si="4"/>
        <v>1364</v>
      </c>
      <c r="T22" s="273">
        <f t="shared" si="4"/>
        <v>67112</v>
      </c>
      <c r="U22" s="273">
        <f t="shared" si="4"/>
        <v>8968</v>
      </c>
      <c r="V22" s="273">
        <f t="shared" si="4"/>
        <v>18819</v>
      </c>
      <c r="W22" s="92">
        <f t="shared" si="4"/>
        <v>15036</v>
      </c>
      <c r="X22" s="154">
        <f t="shared" si="4"/>
        <v>63825</v>
      </c>
      <c r="Y22" s="273">
        <f t="shared" si="4"/>
        <v>11240</v>
      </c>
      <c r="Z22" s="273">
        <f t="shared" si="4"/>
        <v>195</v>
      </c>
      <c r="AA22" s="273">
        <f t="shared" si="4"/>
        <v>47538</v>
      </c>
      <c r="AB22" s="273">
        <f t="shared" si="4"/>
        <v>314</v>
      </c>
      <c r="AC22" s="278">
        <f t="shared" si="4"/>
        <v>3204</v>
      </c>
    </row>
    <row r="23" spans="1:219" s="166" customFormat="1" ht="18" customHeight="1" x14ac:dyDescent="0.3">
      <c r="A23" s="2"/>
      <c r="B23" s="3"/>
      <c r="C23" s="42"/>
      <c r="D23" s="111"/>
      <c r="E23" s="112"/>
      <c r="F23" s="113"/>
      <c r="G23" s="112"/>
      <c r="H23" s="121"/>
      <c r="I23" s="159"/>
      <c r="J23" s="147"/>
      <c r="K23" s="122"/>
      <c r="L23" s="122"/>
      <c r="M23" s="122"/>
      <c r="N23" s="122"/>
      <c r="O23" s="122"/>
      <c r="P23" s="123"/>
      <c r="Q23" s="114"/>
      <c r="R23" s="142"/>
      <c r="S23" s="122"/>
      <c r="T23" s="122"/>
      <c r="U23" s="122"/>
      <c r="V23" s="122"/>
      <c r="W23" s="117"/>
      <c r="X23" s="114"/>
      <c r="Y23" s="122"/>
      <c r="Z23" s="122"/>
      <c r="AA23" s="122"/>
      <c r="AB23" s="122"/>
      <c r="AC23" s="279"/>
    </row>
    <row r="24" spans="1:219" s="166" customFormat="1" ht="18" customHeight="1" x14ac:dyDescent="0.3">
      <c r="A24" s="12">
        <v>16</v>
      </c>
      <c r="B24" s="13">
        <v>591</v>
      </c>
      <c r="C24" s="14" t="s">
        <v>37</v>
      </c>
      <c r="D24" s="81">
        <f>SUM(E24:G24)</f>
        <v>108736</v>
      </c>
      <c r="E24" s="84">
        <f>ROUND('VHČ 2014 (v Kč)'!E24/1000,0)</f>
        <v>0</v>
      </c>
      <c r="F24" s="64">
        <f>ROUND('VHČ 2014 (v Kč)'!F24/1000,0)</f>
        <v>77</v>
      </c>
      <c r="G24" s="83">
        <f>SUM(H24:AC24)</f>
        <v>108659</v>
      </c>
      <c r="H24" s="84">
        <f>ROUND('VHČ 2014 (v Kč)'!H24/1000,0)</f>
        <v>14005</v>
      </c>
      <c r="I24" s="156">
        <f>ROUND('VHČ 2014 (v Kč)'!I24/1000,0)</f>
        <v>0</v>
      </c>
      <c r="J24" s="144">
        <f>ROUND('VHČ 2014 (v Kč)'!J24/1000,0)</f>
        <v>4846</v>
      </c>
      <c r="K24" s="85">
        <f>ROUND('VHČ 2014 (v Kč)'!K24/1000,0)</f>
        <v>2491</v>
      </c>
      <c r="L24" s="85">
        <f>ROUND('VHČ 2014 (v Kč)'!L24/1000,0)</f>
        <v>4952</v>
      </c>
      <c r="M24" s="85">
        <f>ROUND('VHČ 2014 (v Kč)'!M24/1000,0)</f>
        <v>94</v>
      </c>
      <c r="N24" s="85">
        <f>ROUND('VHČ 2014 (v Kč)'!N24/1000,0)</f>
        <v>10120</v>
      </c>
      <c r="O24" s="85">
        <f>ROUND('VHČ 2014 (v Kč)'!O24/1000,0)</f>
        <v>8846</v>
      </c>
      <c r="P24" s="86">
        <f>ROUND('VHČ 2014 (v Kč)'!P24/1000,0)</f>
        <v>398</v>
      </c>
      <c r="Q24" s="150">
        <f>ROUND('VHČ 2014 (v Kč)'!Q24/1000,0)</f>
        <v>1335</v>
      </c>
      <c r="R24" s="137">
        <f>ROUND('VHČ 2014 (v Kč)'!R24/1000,0)</f>
        <v>10029</v>
      </c>
      <c r="S24" s="85">
        <f>ROUND('VHČ 2014 (v Kč)'!S24/1000,0)</f>
        <v>323</v>
      </c>
      <c r="T24" s="85">
        <f>ROUND('VHČ 2014 (v Kč)'!T24/1000,0)</f>
        <v>12573</v>
      </c>
      <c r="U24" s="85">
        <f>ROUND('VHČ 2014 (v Kč)'!U24/1000,0)</f>
        <v>506</v>
      </c>
      <c r="V24" s="85">
        <f>ROUND('VHČ 2014 (v Kč)'!V24/1000,0)</f>
        <v>4832</v>
      </c>
      <c r="W24" s="87">
        <f>ROUND('VHČ 2014 (v Kč)'!W24/1000,0)+1</f>
        <v>2217</v>
      </c>
      <c r="X24" s="150">
        <f>ROUND('VHČ 2014 (v Kč)'!X24/1000,0)</f>
        <v>15602</v>
      </c>
      <c r="Y24" s="85">
        <f>ROUND('VHČ 2014 (v Kč)'!Y24/1000,0)</f>
        <v>3242</v>
      </c>
      <c r="Z24" s="85">
        <f>ROUND('VHČ 2014 (v Kč)'!Z24/1000,0)</f>
        <v>61</v>
      </c>
      <c r="AA24" s="85">
        <f>ROUND('VHČ 2014 (v Kč)'!AA24/1000,0)</f>
        <v>10384</v>
      </c>
      <c r="AB24" s="85">
        <f>ROUND('VHČ 2014 (v Kč)'!AB24/1000,0)</f>
        <v>71</v>
      </c>
      <c r="AC24" s="270">
        <f>ROUND('VHČ 2014 (v Kč)'!AC24/1000,0)</f>
        <v>1732</v>
      </c>
    </row>
    <row r="25" spans="1:219" s="166" customFormat="1" ht="18" customHeight="1" thickBot="1" x14ac:dyDescent="0.35">
      <c r="A25" s="2"/>
      <c r="B25" s="3"/>
      <c r="C25" s="42"/>
      <c r="D25" s="111"/>
      <c r="E25" s="112"/>
      <c r="F25" s="113"/>
      <c r="G25" s="112"/>
      <c r="H25" s="90"/>
      <c r="I25" s="158"/>
      <c r="J25" s="148"/>
      <c r="K25" s="149"/>
      <c r="L25" s="124"/>
      <c r="M25" s="124"/>
      <c r="N25" s="125"/>
      <c r="O25" s="124"/>
      <c r="P25" s="126"/>
      <c r="Q25" s="152"/>
      <c r="R25" s="127"/>
      <c r="S25" s="280"/>
      <c r="T25" s="128"/>
      <c r="U25" s="280"/>
      <c r="V25" s="128"/>
      <c r="W25" s="281"/>
      <c r="X25" s="155"/>
      <c r="Y25" s="282"/>
      <c r="Z25" s="282"/>
      <c r="AA25" s="282"/>
      <c r="AB25" s="282"/>
      <c r="AC25" s="283"/>
    </row>
    <row r="26" spans="1:219" s="166" customFormat="1" ht="21" customHeight="1" thickBot="1" x14ac:dyDescent="0.35">
      <c r="A26" s="191">
        <v>17</v>
      </c>
      <c r="B26" s="192"/>
      <c r="C26" s="47" t="s">
        <v>56</v>
      </c>
      <c r="D26" s="284">
        <f>D22-D24</f>
        <v>560016</v>
      </c>
      <c r="E26" s="285">
        <f>0+E22-E24</f>
        <v>219708</v>
      </c>
      <c r="F26" s="286">
        <f>0+F22-F24</f>
        <v>576</v>
      </c>
      <c r="G26" s="285">
        <f t="shared" ref="G26:AC26" si="5">SUM(G22-G24)</f>
        <v>339732</v>
      </c>
      <c r="H26" s="287">
        <f t="shared" si="5"/>
        <v>-22849</v>
      </c>
      <c r="I26" s="288">
        <f t="shared" si="5"/>
        <v>-1017</v>
      </c>
      <c r="J26" s="289">
        <f t="shared" si="5"/>
        <v>14009</v>
      </c>
      <c r="K26" s="290">
        <f t="shared" si="5"/>
        <v>5670</v>
      </c>
      <c r="L26" s="291">
        <f t="shared" si="5"/>
        <v>13215</v>
      </c>
      <c r="M26" s="291">
        <f t="shared" si="5"/>
        <v>248</v>
      </c>
      <c r="N26" s="292">
        <f t="shared" si="5"/>
        <v>34674</v>
      </c>
      <c r="O26" s="291">
        <f t="shared" si="5"/>
        <v>26460</v>
      </c>
      <c r="P26" s="293">
        <f t="shared" si="5"/>
        <v>1703</v>
      </c>
      <c r="Q26" s="294">
        <f t="shared" si="5"/>
        <v>4738</v>
      </c>
      <c r="R26" s="295">
        <f t="shared" si="5"/>
        <v>76809</v>
      </c>
      <c r="S26" s="296">
        <f t="shared" si="5"/>
        <v>1041</v>
      </c>
      <c r="T26" s="297">
        <f t="shared" si="5"/>
        <v>54539</v>
      </c>
      <c r="U26" s="296">
        <f t="shared" si="5"/>
        <v>8462</v>
      </c>
      <c r="V26" s="297">
        <f t="shared" si="5"/>
        <v>13987</v>
      </c>
      <c r="W26" s="298">
        <f t="shared" si="5"/>
        <v>12819</v>
      </c>
      <c r="X26" s="299">
        <f t="shared" si="5"/>
        <v>48223</v>
      </c>
      <c r="Y26" s="300">
        <f t="shared" si="5"/>
        <v>7998</v>
      </c>
      <c r="Z26" s="300">
        <f t="shared" si="5"/>
        <v>134</v>
      </c>
      <c r="AA26" s="300">
        <f t="shared" si="5"/>
        <v>37154</v>
      </c>
      <c r="AB26" s="300">
        <f t="shared" si="5"/>
        <v>243</v>
      </c>
      <c r="AC26" s="301">
        <f t="shared" si="5"/>
        <v>1472</v>
      </c>
    </row>
    <row r="27" spans="1:219" s="166" customFormat="1" ht="15" customHeight="1" thickTop="1" x14ac:dyDescent="0.3">
      <c r="A27" s="51"/>
      <c r="B27" s="51"/>
      <c r="C27" s="129"/>
      <c r="D27" s="53"/>
      <c r="E27" s="54"/>
      <c r="F27" s="54"/>
      <c r="G27" s="53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</row>
    <row r="28" spans="1:219" s="166" customFormat="1" ht="18.75" customHeight="1" thickBot="1" x14ac:dyDescent="0.35">
      <c r="A28" s="51"/>
      <c r="B28" s="51"/>
      <c r="C28" s="129"/>
      <c r="D28" s="53"/>
      <c r="E28" s="54"/>
      <c r="F28" s="54"/>
      <c r="G28" s="53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:219" s="166" customFormat="1" ht="19.5" thickBot="1" x14ac:dyDescent="0.35">
      <c r="A29" s="216">
        <v>18</v>
      </c>
      <c r="B29" s="217">
        <v>241</v>
      </c>
      <c r="C29" s="218" t="s">
        <v>46</v>
      </c>
      <c r="D29" s="219">
        <f>SUM(E29:G29)</f>
        <v>919756</v>
      </c>
      <c r="E29" s="222">
        <f>ROUND('VHČ 2014 (v Kč)'!E32/1000,0)</f>
        <v>129603</v>
      </c>
      <c r="F29" s="221">
        <f>ROUND('VHČ 2014 (v Kč)'!F32/1000,0)</f>
        <v>1291</v>
      </c>
      <c r="G29" s="220">
        <f>SUM(H29:AC29)</f>
        <v>788862</v>
      </c>
      <c r="H29" s="222">
        <f>ROUND('VHČ 2014 (v Kč)'!H32/1000,0)</f>
        <v>112050</v>
      </c>
      <c r="I29" s="223">
        <f>ROUND('VHČ 2014 (v Kč)'!I32/1000,0)</f>
        <v>1155</v>
      </c>
      <c r="J29" s="224">
        <f>ROUND('VHČ 2014 (v Kč)'!J32/1000,0)</f>
        <v>104727</v>
      </c>
      <c r="K29" s="225">
        <f>ROUND('VHČ 2014 (v Kč)'!K32/1000,0)</f>
        <v>12153</v>
      </c>
      <c r="L29" s="225">
        <f>ROUND('VHČ 2014 (v Kč)'!L32/1000,0)</f>
        <v>60204</v>
      </c>
      <c r="M29" s="225">
        <f>ROUND('VHČ 2014 (v Kč)'!M32/1000,0)</f>
        <v>4275</v>
      </c>
      <c r="N29" s="225">
        <f>ROUND('VHČ 2014 (v Kč)'!N32/1000,0)</f>
        <v>13394</v>
      </c>
      <c r="O29" s="225">
        <f>ROUND('VHČ 2014 (v Kč)'!O32/1000,0)</f>
        <v>45090</v>
      </c>
      <c r="P29" s="223">
        <f>ROUND('VHČ 2014 (v Kč)'!P32/1000,0)</f>
        <v>1845</v>
      </c>
      <c r="Q29" s="226">
        <f>ROUND('VHČ 2014 (v Kč)'!Q32/1000,0)</f>
        <v>7048</v>
      </c>
      <c r="R29" s="225">
        <f>ROUND('VHČ 2014 (v Kč)'!R32/1000,0)</f>
        <v>73971</v>
      </c>
      <c r="S29" s="225">
        <f>ROUND('VHČ 2014 (v Kč)'!S32/1000,0)</f>
        <v>7610</v>
      </c>
      <c r="T29" s="225">
        <f>ROUND('VHČ 2014 (v Kč)'!T32/1000,0)</f>
        <v>61120</v>
      </c>
      <c r="U29" s="225">
        <f>ROUND('VHČ 2014 (v Kč)'!U32/1000,0)</f>
        <v>22294</v>
      </c>
      <c r="V29" s="225">
        <f>ROUND('VHČ 2014 (v Kč)'!V32/1000,0)</f>
        <v>13546</v>
      </c>
      <c r="W29" s="227">
        <f>ROUND('VHČ 2014 (v Kč)'!W32/1000,0)</f>
        <v>43367</v>
      </c>
      <c r="X29" s="226">
        <f>ROUND('VHČ 2014 (v Kč)'!X32/1000,0)</f>
        <v>58484</v>
      </c>
      <c r="Y29" s="225">
        <f>ROUND('VHČ 2014 (v Kč)'!Y32/1000,0)</f>
        <v>33224</v>
      </c>
      <c r="Z29" s="225">
        <f>ROUND('VHČ 2014 (v Kč)'!Z32/1000,0)+1</f>
        <v>2064</v>
      </c>
      <c r="AA29" s="225">
        <f>ROUND('VHČ 2014 (v Kč)'!AA32/1000,0)</f>
        <v>78062</v>
      </c>
      <c r="AB29" s="225">
        <f>ROUND('VHČ 2014 (v Kč)'!AB32/1000,0)</f>
        <v>8602</v>
      </c>
      <c r="AC29" s="223">
        <f>ROUND('VHČ 2014 (v Kč)'!AC32/1000,0)</f>
        <v>24577</v>
      </c>
    </row>
    <row r="30" spans="1:219" s="166" customFormat="1" ht="15" customHeight="1" thickBot="1" x14ac:dyDescent="0.3">
      <c r="A30" s="55" t="s">
        <v>38</v>
      </c>
      <c r="B30" s="55"/>
      <c r="C30" s="56"/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170"/>
      <c r="O30" s="170"/>
      <c r="P30" s="170"/>
      <c r="Q30" s="170"/>
      <c r="R30" s="170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</row>
    <row r="31" spans="1:219" s="166" customFormat="1" ht="19.5" thickBot="1" x14ac:dyDescent="0.35">
      <c r="A31" s="216">
        <v>19</v>
      </c>
      <c r="B31" s="217">
        <v>432</v>
      </c>
      <c r="C31" s="350" t="s">
        <v>68</v>
      </c>
      <c r="D31" s="219">
        <f>SUM(E31:G31)</f>
        <v>775333</v>
      </c>
      <c r="E31" s="222">
        <f>ROUND('VHČ 2014 (v Kč)'!E33/1000,0)</f>
        <v>52331</v>
      </c>
      <c r="F31" s="221">
        <f>ROUND('VHČ 2014 (v Kč)'!F33/1000,0)</f>
        <v>784</v>
      </c>
      <c r="G31" s="220">
        <f>SUM(H31:AC31)</f>
        <v>722218</v>
      </c>
      <c r="H31" s="222">
        <f>ROUND('VHČ 2014 (v Kč)'!H33/1000,0)</f>
        <v>285872</v>
      </c>
      <c r="I31" s="223">
        <f>ROUND('VHČ 2014 (v Kč)'!I33/1000,0)</f>
        <v>3747</v>
      </c>
      <c r="J31" s="224">
        <f>ROUND('VHČ 2014 (v Kč)'!J33/1000,0)</f>
        <v>109704</v>
      </c>
      <c r="K31" s="225">
        <f>ROUND('VHČ 2014 (v Kč)'!K33/1000,0)</f>
        <v>0</v>
      </c>
      <c r="L31" s="225">
        <f>ROUND('VHČ 2014 (v Kč)'!L33/1000,0)</f>
        <v>50098</v>
      </c>
      <c r="M31" s="225">
        <f>ROUND('VHČ 2014 (v Kč)'!M33/1000,0)</f>
        <v>1716</v>
      </c>
      <c r="N31" s="225">
        <f>ROUND('VHČ 2014 (v Kč)'!N33/1000,0)</f>
        <v>159077</v>
      </c>
      <c r="O31" s="225">
        <f>ROUND('VHČ 2014 (v Kč)'!O33/1000,0)</f>
        <v>0</v>
      </c>
      <c r="P31" s="223">
        <f>ROUND('VHČ 2014 (v Kč)'!P33/1000,0)</f>
        <v>0</v>
      </c>
      <c r="Q31" s="226">
        <f>ROUND('VHČ 2014 (v Kč)'!Q33/1000,0)</f>
        <v>-2352</v>
      </c>
      <c r="R31" s="225">
        <f>ROUND('VHČ 2014 (v Kč)'!R33/1000,0)</f>
        <v>470</v>
      </c>
      <c r="S31" s="225">
        <f>ROUND('VHČ 2014 (v Kč)'!S33/1000,0)</f>
        <v>8235</v>
      </c>
      <c r="T31" s="225">
        <f>ROUND('VHČ 2014 (v Kč)'!T33/1000,0)</f>
        <v>0</v>
      </c>
      <c r="U31" s="225">
        <f>ROUND('VHČ 2014 (v Kč)'!U33/1000,0)</f>
        <v>9910</v>
      </c>
      <c r="V31" s="225">
        <f>ROUND('VHČ 2014 (v Kč)'!V33/1000,0)</f>
        <v>5020</v>
      </c>
      <c r="W31" s="227">
        <f>ROUND('VHČ 2014 (v Kč)'!W33/1000,0)</f>
        <v>22889</v>
      </c>
      <c r="X31" s="226">
        <f>ROUND('VHČ 2014 (v Kč)'!X33/1000,0)</f>
        <v>0</v>
      </c>
      <c r="Y31" s="225">
        <f>ROUND('VHČ 2014 (v Kč)'!Y33/1000,0)-1</f>
        <v>14321</v>
      </c>
      <c r="Z31" s="225">
        <f>ROUND('VHČ 2014 (v Kč)'!Z33/1000,0)</f>
        <v>1118</v>
      </c>
      <c r="AA31" s="225">
        <f>ROUND('VHČ 2014 (v Kč)'!AA33/1000,0)</f>
        <v>30719</v>
      </c>
      <c r="AB31" s="225">
        <f>ROUND('VHČ 2014 (v Kč)'!AB33/1000,0)</f>
        <v>2307</v>
      </c>
      <c r="AC31" s="223">
        <f>ROUND('VHČ 2014 (v Kč)'!AC33/1000,0)</f>
        <v>19367</v>
      </c>
    </row>
    <row r="32" spans="1:219" s="166" customFormat="1" ht="18" x14ac:dyDescent="0.25">
      <c r="E32" s="58"/>
      <c r="F32" s="58"/>
      <c r="G32" s="60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</row>
    <row r="33" spans="5:13" ht="18" x14ac:dyDescent="0.25">
      <c r="E33" s="58"/>
      <c r="F33" s="58"/>
      <c r="G33" s="58"/>
      <c r="H33" s="58"/>
      <c r="I33" s="58"/>
      <c r="J33" s="58"/>
      <c r="K33" s="58"/>
      <c r="L33" s="58"/>
      <c r="M33" s="59"/>
    </row>
    <row r="34" spans="5:13" ht="18" x14ac:dyDescent="0.25">
      <c r="E34" s="61"/>
      <c r="F34" s="61"/>
      <c r="G34" s="61"/>
      <c r="H34" s="61"/>
      <c r="I34" s="61"/>
      <c r="J34" s="61"/>
      <c r="K34" s="61"/>
      <c r="L34" s="61"/>
    </row>
    <row r="35" spans="5:13" ht="18" x14ac:dyDescent="0.25">
      <c r="E35" s="61"/>
      <c r="F35" s="61"/>
      <c r="G35" s="61"/>
      <c r="H35" s="61"/>
      <c r="I35" s="61"/>
      <c r="J35" s="61"/>
      <c r="K35" s="61"/>
      <c r="L35" s="61"/>
    </row>
    <row r="36" spans="5:13" ht="18" x14ac:dyDescent="0.25">
      <c r="E36" s="61"/>
      <c r="F36" s="61"/>
      <c r="G36" s="61"/>
      <c r="H36" s="61"/>
      <c r="I36" s="61"/>
      <c r="J36" s="61"/>
      <c r="K36" s="61"/>
      <c r="L36" s="61"/>
    </row>
    <row r="37" spans="5:13" ht="18" x14ac:dyDescent="0.25">
      <c r="E37" s="61"/>
      <c r="F37" s="61"/>
      <c r="G37" s="61"/>
      <c r="H37" s="61"/>
      <c r="I37" s="61"/>
      <c r="J37" s="61"/>
      <c r="K37" s="61"/>
      <c r="L37" s="61"/>
    </row>
    <row r="38" spans="5:13" ht="18" x14ac:dyDescent="0.25">
      <c r="E38" s="61"/>
      <c r="F38" s="61"/>
      <c r="G38" s="61"/>
      <c r="H38" s="61"/>
      <c r="I38" s="61"/>
      <c r="J38" s="61"/>
      <c r="K38" s="61"/>
      <c r="L38" s="61"/>
    </row>
    <row r="39" spans="5:13" ht="18" x14ac:dyDescent="0.25">
      <c r="E39" s="61"/>
      <c r="F39" s="61"/>
      <c r="G39" s="61"/>
      <c r="H39" s="61"/>
      <c r="I39" s="61"/>
      <c r="J39" s="61"/>
      <c r="K39" s="61"/>
      <c r="L39" s="61"/>
    </row>
    <row r="40" spans="5:13" ht="18" x14ac:dyDescent="0.25">
      <c r="E40" s="61"/>
      <c r="F40" s="61"/>
      <c r="G40" s="61"/>
      <c r="H40" s="61"/>
      <c r="I40" s="61"/>
      <c r="J40" s="61"/>
      <c r="K40" s="61"/>
      <c r="L40" s="61"/>
    </row>
    <row r="41" spans="5:13" ht="18" x14ac:dyDescent="0.25">
      <c r="E41" s="61"/>
      <c r="F41" s="61"/>
      <c r="G41" s="61"/>
      <c r="H41" s="61"/>
      <c r="I41" s="61"/>
      <c r="J41" s="61"/>
      <c r="K41" s="61"/>
      <c r="L41" s="61"/>
    </row>
    <row r="42" spans="5:13" ht="18" x14ac:dyDescent="0.25">
      <c r="E42" s="61"/>
      <c r="F42" s="61"/>
      <c r="G42" s="61"/>
      <c r="H42" s="61"/>
      <c r="I42" s="61"/>
      <c r="J42" s="61"/>
      <c r="K42" s="61"/>
      <c r="L42" s="61"/>
    </row>
  </sheetData>
  <mergeCells count="30">
    <mergeCell ref="AA1:AA3"/>
    <mergeCell ref="AB1:AB3"/>
    <mergeCell ref="AC1:AC3"/>
    <mergeCell ref="E2:E3"/>
    <mergeCell ref="F2:F3"/>
    <mergeCell ref="V1:V3"/>
    <mergeCell ref="W1:W3"/>
    <mergeCell ref="X1:X3"/>
    <mergeCell ref="Y1:Y3"/>
    <mergeCell ref="Z1:Z3"/>
    <mergeCell ref="Q1:Q3"/>
    <mergeCell ref="R1:R3"/>
    <mergeCell ref="S1:S3"/>
    <mergeCell ref="T1:T3"/>
    <mergeCell ref="U1:U3"/>
    <mergeCell ref="L1:L3"/>
    <mergeCell ref="M1:M3"/>
    <mergeCell ref="N1:N3"/>
    <mergeCell ref="O1:O3"/>
    <mergeCell ref="P1:P3"/>
    <mergeCell ref="G1:G3"/>
    <mergeCell ref="H1:H3"/>
    <mergeCell ref="I1:I3"/>
    <mergeCell ref="J1:J3"/>
    <mergeCell ref="K1:K3"/>
    <mergeCell ref="E1:F1"/>
    <mergeCell ref="A1:A3"/>
    <mergeCell ref="B1:B3"/>
    <mergeCell ref="C1:C3"/>
    <mergeCell ref="D1:D3"/>
  </mergeCells>
  <phoneticPr fontId="0" type="noConversion"/>
  <printOptions horizontalCentered="1"/>
  <pageMargins left="0.51181102362204722" right="0.51181102362204722" top="1.3385826771653544" bottom="0.86614173228346458" header="0.82677165354330717" footer="0.59055118110236227"/>
  <pageSetup paperSize="9" scale="68" fitToHeight="4" orientation="landscape" r:id="rId1"/>
  <headerFooter alignWithMargins="0">
    <oddHeader>&amp;C&amp;"Times New Roman CE,Tučné"&amp;20Přehled o vedlejší hospodářské činnosti statutárního města Brna za rok 2014 (v tis. Kč)</oddHeader>
    <oddFooter>&amp;R&amp;"Times New Roman,Obyčejné"&amp;11&amp;P</oddFooter>
  </headerFooter>
  <colBreaks count="3" manualBreakCount="3">
    <brk id="9" max="1048575" man="1"/>
    <brk id="16" max="1048575" man="1"/>
    <brk id="2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5"/>
  <sheetViews>
    <sheetView zoomScale="70" zoomScaleNormal="70" zoomScaleSheetLayoutView="75" workbookViewId="0">
      <pane xSplit="3" topLeftCell="D1" activePane="topRight" state="frozen"/>
      <selection sqref="A1:A3"/>
      <selection pane="topRight" sqref="A1:A3"/>
    </sheetView>
  </sheetViews>
  <sheetFormatPr defaultColWidth="12.6640625" defaultRowHeight="15" x14ac:dyDescent="0.2"/>
  <cols>
    <col min="1" max="1" width="5" style="1" customWidth="1"/>
    <col min="2" max="2" width="7.5546875" style="1" customWidth="1"/>
    <col min="3" max="3" width="51.6640625" style="1" customWidth="1"/>
    <col min="4" max="4" width="16.88671875" style="1" bestFit="1" customWidth="1"/>
    <col min="5" max="6" width="14.77734375" style="1" customWidth="1"/>
    <col min="7" max="7" width="16.88671875" style="1" bestFit="1" customWidth="1"/>
    <col min="8" max="29" width="14.77734375" style="1" customWidth="1"/>
    <col min="30" max="16384" width="12.6640625" style="1"/>
  </cols>
  <sheetData>
    <row r="1" spans="1:29" s="166" customFormat="1" ht="20.100000000000001" customHeight="1" thickTop="1" x14ac:dyDescent="0.3">
      <c r="A1" s="357" t="s">
        <v>1</v>
      </c>
      <c r="B1" s="360" t="s">
        <v>2</v>
      </c>
      <c r="C1" s="360" t="s">
        <v>3</v>
      </c>
      <c r="D1" s="363" t="s">
        <v>58</v>
      </c>
      <c r="E1" s="355" t="s">
        <v>0</v>
      </c>
      <c r="F1" s="356"/>
      <c r="G1" s="363" t="s">
        <v>59</v>
      </c>
      <c r="H1" s="372" t="s">
        <v>5</v>
      </c>
      <c r="I1" s="366" t="s">
        <v>6</v>
      </c>
      <c r="J1" s="406" t="s">
        <v>60</v>
      </c>
      <c r="K1" s="381" t="s">
        <v>61</v>
      </c>
      <c r="L1" s="366" t="s">
        <v>7</v>
      </c>
      <c r="M1" s="366" t="s">
        <v>8</v>
      </c>
      <c r="N1" s="366" t="s">
        <v>9</v>
      </c>
      <c r="O1" s="366" t="s">
        <v>10</v>
      </c>
      <c r="P1" s="409" t="s">
        <v>11</v>
      </c>
      <c r="Q1" s="412" t="s">
        <v>12</v>
      </c>
      <c r="R1" s="400" t="s">
        <v>13</v>
      </c>
      <c r="S1" s="403" t="s">
        <v>64</v>
      </c>
      <c r="T1" s="384" t="s">
        <v>14</v>
      </c>
      <c r="U1" s="384" t="s">
        <v>15</v>
      </c>
      <c r="V1" s="384" t="s">
        <v>16</v>
      </c>
      <c r="W1" s="384" t="s">
        <v>17</v>
      </c>
      <c r="X1" s="384" t="s">
        <v>18</v>
      </c>
      <c r="Y1" s="384" t="s">
        <v>19</v>
      </c>
      <c r="Z1" s="384" t="s">
        <v>20</v>
      </c>
      <c r="AA1" s="384" t="s">
        <v>62</v>
      </c>
      <c r="AB1" s="384" t="s">
        <v>21</v>
      </c>
      <c r="AC1" s="387" t="s">
        <v>63</v>
      </c>
    </row>
    <row r="2" spans="1:29" s="166" customFormat="1" ht="20.100000000000001" customHeight="1" x14ac:dyDescent="0.2">
      <c r="A2" s="358"/>
      <c r="B2" s="361"/>
      <c r="C2" s="361"/>
      <c r="D2" s="364"/>
      <c r="E2" s="390" t="s">
        <v>4</v>
      </c>
      <c r="F2" s="392" t="s">
        <v>65</v>
      </c>
      <c r="G2" s="364"/>
      <c r="H2" s="373"/>
      <c r="I2" s="367"/>
      <c r="J2" s="407"/>
      <c r="K2" s="382"/>
      <c r="L2" s="367"/>
      <c r="M2" s="367"/>
      <c r="N2" s="367"/>
      <c r="O2" s="367"/>
      <c r="P2" s="410"/>
      <c r="Q2" s="413"/>
      <c r="R2" s="401"/>
      <c r="S2" s="404"/>
      <c r="T2" s="385"/>
      <c r="U2" s="385"/>
      <c r="V2" s="385"/>
      <c r="W2" s="385"/>
      <c r="X2" s="385"/>
      <c r="Y2" s="385"/>
      <c r="Z2" s="385"/>
      <c r="AA2" s="385"/>
      <c r="AB2" s="385"/>
      <c r="AC2" s="388"/>
    </row>
    <row r="3" spans="1:29" s="166" customFormat="1" ht="20.100000000000001" customHeight="1" thickBot="1" x14ac:dyDescent="0.25">
      <c r="A3" s="359"/>
      <c r="B3" s="362"/>
      <c r="C3" s="362"/>
      <c r="D3" s="365"/>
      <c r="E3" s="391"/>
      <c r="F3" s="393"/>
      <c r="G3" s="365"/>
      <c r="H3" s="374"/>
      <c r="I3" s="368"/>
      <c r="J3" s="408"/>
      <c r="K3" s="383"/>
      <c r="L3" s="368"/>
      <c r="M3" s="368"/>
      <c r="N3" s="368"/>
      <c r="O3" s="368"/>
      <c r="P3" s="411"/>
      <c r="Q3" s="414"/>
      <c r="R3" s="415"/>
      <c r="S3" s="405"/>
      <c r="T3" s="386"/>
      <c r="U3" s="386"/>
      <c r="V3" s="386"/>
      <c r="W3" s="386"/>
      <c r="X3" s="386"/>
      <c r="Y3" s="386"/>
      <c r="Z3" s="386"/>
      <c r="AA3" s="386"/>
      <c r="AB3" s="386"/>
      <c r="AC3" s="389"/>
    </row>
    <row r="4" spans="1:29" s="166" customFormat="1" ht="18" customHeight="1" x14ac:dyDescent="0.3">
      <c r="A4" s="4"/>
      <c r="B4" s="5"/>
      <c r="C4" s="6" t="s">
        <v>22</v>
      </c>
      <c r="D4" s="7"/>
      <c r="E4" s="8"/>
      <c r="F4" s="9"/>
      <c r="G4" s="62"/>
      <c r="H4" s="63"/>
      <c r="I4" s="172"/>
      <c r="J4" s="63"/>
      <c r="K4" s="241"/>
      <c r="L4" s="172"/>
      <c r="M4" s="173"/>
      <c r="N4" s="65"/>
      <c r="O4" s="172"/>
      <c r="P4" s="234"/>
      <c r="Q4" s="256"/>
      <c r="R4" s="67"/>
      <c r="S4" s="172"/>
      <c r="T4" s="68"/>
      <c r="U4" s="66"/>
      <c r="V4" s="65"/>
      <c r="W4" s="172"/>
      <c r="X4" s="172"/>
      <c r="Y4" s="172"/>
      <c r="Z4" s="173"/>
      <c r="AA4" s="173"/>
      <c r="AB4" s="172"/>
      <c r="AC4" s="174"/>
    </row>
    <row r="5" spans="1:29" s="166" customFormat="1" ht="18" customHeight="1" x14ac:dyDescent="0.3">
      <c r="A5" s="12">
        <v>1</v>
      </c>
      <c r="B5" s="13">
        <v>601.20000000000005</v>
      </c>
      <c r="C5" s="14" t="s">
        <v>23</v>
      </c>
      <c r="D5" s="15">
        <f>SUM(E5:G5)</f>
        <v>103218310.73999999</v>
      </c>
      <c r="E5" s="16">
        <f>368094.62+73014391.11</f>
        <v>73382485.730000004</v>
      </c>
      <c r="F5" s="344">
        <v>10442022.460000001</v>
      </c>
      <c r="G5" s="195">
        <f>SUM(H5:AC5)</f>
        <v>19393802.549999997</v>
      </c>
      <c r="H5" s="67">
        <v>2332137.16</v>
      </c>
      <c r="I5" s="66"/>
      <c r="J5" s="67">
        <v>132824</v>
      </c>
      <c r="K5" s="242">
        <v>1125</v>
      </c>
      <c r="L5" s="66"/>
      <c r="M5" s="66"/>
      <c r="N5" s="65"/>
      <c r="O5" s="66"/>
      <c r="P5" s="234"/>
      <c r="Q5" s="256"/>
      <c r="R5" s="67"/>
      <c r="S5" s="66"/>
      <c r="T5" s="65"/>
      <c r="U5" s="66">
        <v>7175801.7199999997</v>
      </c>
      <c r="V5" s="65"/>
      <c r="W5" s="66">
        <v>-3160.33</v>
      </c>
      <c r="X5" s="66"/>
      <c r="Y5" s="66"/>
      <c r="Z5" s="65"/>
      <c r="AA5" s="65">
        <f>9755075</f>
        <v>9755075</v>
      </c>
      <c r="AB5" s="66"/>
      <c r="AC5" s="196"/>
    </row>
    <row r="6" spans="1:29" s="166" customFormat="1" ht="18" customHeight="1" x14ac:dyDescent="0.3">
      <c r="A6" s="12">
        <v>2</v>
      </c>
      <c r="B6" s="13">
        <v>603</v>
      </c>
      <c r="C6" s="14" t="s">
        <v>42</v>
      </c>
      <c r="D6" s="15">
        <f>SUM(E6:G6)</f>
        <v>1918660339.99</v>
      </c>
      <c r="E6" s="16">
        <v>511416484.79000002</v>
      </c>
      <c r="F6" s="344"/>
      <c r="G6" s="195">
        <f>SUM(H6:AC6)</f>
        <v>1407243855.2</v>
      </c>
      <c r="H6" s="67">
        <v>323754194.97000003</v>
      </c>
      <c r="I6" s="66">
        <v>607322</v>
      </c>
      <c r="J6" s="67">
        <v>37897047.420000002</v>
      </c>
      <c r="K6" s="242">
        <v>38750278</v>
      </c>
      <c r="L6" s="66">
        <v>73367812.780000001</v>
      </c>
      <c r="M6" s="66">
        <v>585168</v>
      </c>
      <c r="N6" s="65">
        <v>78718698.5</v>
      </c>
      <c r="O6" s="66">
        <v>83007946</v>
      </c>
      <c r="P6" s="234">
        <v>3741463</v>
      </c>
      <c r="Q6" s="256">
        <v>8725151</v>
      </c>
      <c r="R6" s="67">
        <v>260305052.25</v>
      </c>
      <c r="S6" s="66">
        <v>4997500</v>
      </c>
      <c r="T6" s="65">
        <v>109381949</v>
      </c>
      <c r="U6" s="66">
        <f>44414698.84+33434.1</f>
        <v>44448132.940000005</v>
      </c>
      <c r="V6" s="65">
        <v>44755494</v>
      </c>
      <c r="W6" s="66">
        <v>36087270.090000004</v>
      </c>
      <c r="X6" s="66">
        <v>110725554.5</v>
      </c>
      <c r="Y6" s="66">
        <v>35128961.090000004</v>
      </c>
      <c r="Z6" s="65">
        <v>404520</v>
      </c>
      <c r="AA6" s="65">
        <f>88872965.66</f>
        <v>88872965.659999996</v>
      </c>
      <c r="AB6" s="66">
        <v>735751</v>
      </c>
      <c r="AC6" s="196">
        <v>22245623</v>
      </c>
    </row>
    <row r="7" spans="1:29" s="166" customFormat="1" ht="18" customHeight="1" x14ac:dyDescent="0.3">
      <c r="A7" s="12">
        <v>3</v>
      </c>
      <c r="B7" s="13" t="s">
        <v>24</v>
      </c>
      <c r="C7" s="14" t="s">
        <v>25</v>
      </c>
      <c r="D7" s="15">
        <f>SUM(E7:G7)</f>
        <v>21216063.989999998</v>
      </c>
      <c r="E7" s="17">
        <f>319061.99+20897002</f>
        <v>21216063.989999998</v>
      </c>
      <c r="F7" s="345"/>
      <c r="G7" s="195">
        <f>SUM(H7:AC7)</f>
        <v>0</v>
      </c>
      <c r="H7" s="197"/>
      <c r="I7" s="66"/>
      <c r="J7" s="67"/>
      <c r="K7" s="242"/>
      <c r="L7" s="66"/>
      <c r="M7" s="66"/>
      <c r="N7" s="65"/>
      <c r="O7" s="66"/>
      <c r="P7" s="234"/>
      <c r="Q7" s="256"/>
      <c r="R7" s="67"/>
      <c r="S7" s="66"/>
      <c r="T7" s="65"/>
      <c r="U7" s="66"/>
      <c r="V7" s="65"/>
      <c r="W7" s="66"/>
      <c r="X7" s="66"/>
      <c r="Y7" s="66"/>
      <c r="Z7" s="65"/>
      <c r="AA7" s="65"/>
      <c r="AB7" s="66"/>
      <c r="AC7" s="69"/>
    </row>
    <row r="8" spans="1:29" s="166" customFormat="1" ht="18" customHeight="1" x14ac:dyDescent="0.3">
      <c r="A8" s="12">
        <v>4</v>
      </c>
      <c r="B8" s="13">
        <v>672</v>
      </c>
      <c r="C8" s="14" t="s">
        <v>50</v>
      </c>
      <c r="D8" s="15">
        <f>SUM(E8:G8)</f>
        <v>40482785.70000001</v>
      </c>
      <c r="E8" s="19">
        <v>9995210.1500000004</v>
      </c>
      <c r="F8" s="20"/>
      <c r="G8" s="195">
        <f>SUM(H8:AC8)</f>
        <v>30487575.550000008</v>
      </c>
      <c r="H8" s="198">
        <v>23612053.469999999</v>
      </c>
      <c r="I8" s="10">
        <v>179098.32</v>
      </c>
      <c r="J8" s="198">
        <v>623429.76</v>
      </c>
      <c r="K8" s="243">
        <v>92456.07</v>
      </c>
      <c r="L8" s="10">
        <v>618348.12</v>
      </c>
      <c r="M8" s="10">
        <v>81941.399999999994</v>
      </c>
      <c r="N8" s="11">
        <v>362536.8</v>
      </c>
      <c r="O8" s="10">
        <v>50382.12</v>
      </c>
      <c r="P8" s="235">
        <v>5937.84</v>
      </c>
      <c r="Q8" s="259"/>
      <c r="R8" s="268">
        <v>1644246.28</v>
      </c>
      <c r="S8" s="10"/>
      <c r="T8" s="11">
        <f>635196.44</f>
        <v>635196.43999999994</v>
      </c>
      <c r="U8" s="10">
        <v>389503.39</v>
      </c>
      <c r="V8" s="11">
        <v>211662.72</v>
      </c>
      <c r="W8" s="10">
        <v>268734.63</v>
      </c>
      <c r="X8" s="10">
        <v>832502.1</v>
      </c>
      <c r="Y8" s="10">
        <v>342119.92</v>
      </c>
      <c r="Z8" s="11">
        <v>66764.800000000003</v>
      </c>
      <c r="AA8" s="11">
        <f>413661.37+57000</f>
        <v>470661.37</v>
      </c>
      <c r="AB8" s="10"/>
      <c r="AC8" s="199"/>
    </row>
    <row r="9" spans="1:29" s="166" customFormat="1" ht="18" customHeight="1" thickBot="1" x14ac:dyDescent="0.35">
      <c r="A9" s="21">
        <v>5</v>
      </c>
      <c r="B9" s="22" t="s">
        <v>43</v>
      </c>
      <c r="C9" s="14" t="s">
        <v>26</v>
      </c>
      <c r="D9" s="15">
        <f>SUM(E9:G9)</f>
        <v>72654598.129999921</v>
      </c>
      <c r="E9" s="19">
        <f>205294.29+140045+254258.47</f>
        <v>599597.76</v>
      </c>
      <c r="F9" s="20">
        <f>34839.94+1280</f>
        <v>36119.94</v>
      </c>
      <c r="G9" s="195">
        <f>SUM(H9:AC9)</f>
        <v>72018880.429999918</v>
      </c>
      <c r="H9" s="269">
        <f>H10-H5-H6-H7-H8</f>
        <v>16884491.48999992</v>
      </c>
      <c r="I9" s="10">
        <f t="shared" ref="I9:AC9" si="0">I10-I5-I6-I7-I8</f>
        <v>32900.549999999988</v>
      </c>
      <c r="J9" s="198">
        <f>J10-J5-J6-J7-J8</f>
        <v>9346197.3499999996</v>
      </c>
      <c r="K9" s="244">
        <f t="shared" si="0"/>
        <v>1185525.5600000026</v>
      </c>
      <c r="L9" s="229">
        <f t="shared" si="0"/>
        <v>3568021.7399999993</v>
      </c>
      <c r="M9" s="229">
        <f t="shared" si="0"/>
        <v>2711.5399999999499</v>
      </c>
      <c r="N9" s="229">
        <f t="shared" si="0"/>
        <v>357539.13999999763</v>
      </c>
      <c r="O9" s="229">
        <f t="shared" si="0"/>
        <v>2168202.9700000035</v>
      </c>
      <c r="P9" s="229">
        <f t="shared" si="0"/>
        <v>148178.30999999991</v>
      </c>
      <c r="Q9" s="259">
        <f>Q10-Q5-Q6-Q7-Q8</f>
        <v>10981.039999999106</v>
      </c>
      <c r="R9" s="254">
        <f t="shared" si="0"/>
        <v>25755937.270000011</v>
      </c>
      <c r="S9" s="229">
        <f t="shared" si="0"/>
        <v>5951.5800000000745</v>
      </c>
      <c r="T9" s="229">
        <f t="shared" si="0"/>
        <v>820116.26000000304</v>
      </c>
      <c r="U9" s="229">
        <f t="shared" si="0"/>
        <v>628812.78999999969</v>
      </c>
      <c r="V9" s="229">
        <f t="shared" si="0"/>
        <v>297699.82999999705</v>
      </c>
      <c r="W9" s="228">
        <f t="shared" si="0"/>
        <v>383774.83999999135</v>
      </c>
      <c r="X9" s="229">
        <f t="shared" si="0"/>
        <v>942585.8800000042</v>
      </c>
      <c r="Y9" s="229">
        <f t="shared" si="0"/>
        <v>657176.93999999948</v>
      </c>
      <c r="Z9" s="229">
        <f t="shared" si="0"/>
        <v>31015.970000000016</v>
      </c>
      <c r="AA9" s="229">
        <f t="shared" si="0"/>
        <v>7523153.4599999981</v>
      </c>
      <c r="AB9" s="229">
        <f t="shared" si="0"/>
        <v>262090.93999999994</v>
      </c>
      <c r="AC9" s="230">
        <f t="shared" si="0"/>
        <v>1005814.9800000004</v>
      </c>
    </row>
    <row r="10" spans="1:29" s="166" customFormat="1" ht="18" customHeight="1" thickBot="1" x14ac:dyDescent="0.35">
      <c r="A10" s="23">
        <v>6</v>
      </c>
      <c r="B10" s="24"/>
      <c r="C10" s="25" t="s">
        <v>41</v>
      </c>
      <c r="D10" s="26">
        <f>SUM(D5:D9)</f>
        <v>2156232098.5500002</v>
      </c>
      <c r="E10" s="27">
        <f>SUM(E5:E9)</f>
        <v>616609842.41999996</v>
      </c>
      <c r="F10" s="28">
        <f>SUM(F5:F9)</f>
        <v>10478142.4</v>
      </c>
      <c r="G10" s="200">
        <f>SUM(G5:G9)</f>
        <v>1529144113.7299998</v>
      </c>
      <c r="H10" s="201">
        <v>366582877.08999997</v>
      </c>
      <c r="I10" s="267">
        <v>819320.87</v>
      </c>
      <c r="J10" s="266">
        <v>47999498.530000001</v>
      </c>
      <c r="K10" s="245">
        <v>40029384.630000003</v>
      </c>
      <c r="L10" s="231">
        <v>77554182.640000001</v>
      </c>
      <c r="M10" s="231">
        <v>669820.93999999994</v>
      </c>
      <c r="N10" s="231">
        <v>79438774.439999998</v>
      </c>
      <c r="O10" s="231">
        <v>85226531.090000004</v>
      </c>
      <c r="P10" s="257">
        <v>3895579.15</v>
      </c>
      <c r="Q10" s="245">
        <v>8736132.0399999991</v>
      </c>
      <c r="R10" s="232">
        <v>287705235.80000001</v>
      </c>
      <c r="S10" s="231">
        <v>5003451.58</v>
      </c>
      <c r="T10" s="231">
        <v>110837261.7</v>
      </c>
      <c r="U10" s="231">
        <f>45432587.74+7209663.1</f>
        <v>52642250.840000004</v>
      </c>
      <c r="V10" s="231">
        <v>45264856.549999997</v>
      </c>
      <c r="W10" s="231">
        <v>36736619.229999997</v>
      </c>
      <c r="X10" s="231">
        <v>112500642.48</v>
      </c>
      <c r="Y10" s="231">
        <v>36128257.950000003</v>
      </c>
      <c r="Z10" s="231">
        <v>502300.77</v>
      </c>
      <c r="AA10" s="231">
        <f>96809658.49+9812197</f>
        <v>106621855.48999999</v>
      </c>
      <c r="AB10" s="231">
        <v>997841.94</v>
      </c>
      <c r="AC10" s="265">
        <v>23251437.98</v>
      </c>
    </row>
    <row r="11" spans="1:29" s="166" customFormat="1" ht="18" customHeight="1" x14ac:dyDescent="0.3">
      <c r="A11" s="29"/>
      <c r="B11" s="30"/>
      <c r="C11" s="14"/>
      <c r="D11" s="31"/>
      <c r="E11" s="32"/>
      <c r="F11" s="33"/>
      <c r="G11" s="70"/>
      <c r="H11" s="71"/>
      <c r="I11" s="72"/>
      <c r="J11" s="71"/>
      <c r="K11" s="246"/>
      <c r="L11" s="72"/>
      <c r="M11" s="72"/>
      <c r="N11" s="74"/>
      <c r="O11" s="72"/>
      <c r="P11" s="236"/>
      <c r="Q11" s="260"/>
      <c r="R11" s="71"/>
      <c r="S11" s="72"/>
      <c r="T11" s="74"/>
      <c r="U11" s="72"/>
      <c r="V11" s="74"/>
      <c r="W11" s="72"/>
      <c r="X11" s="72"/>
      <c r="Y11" s="72"/>
      <c r="Z11" s="74"/>
      <c r="AA11" s="74"/>
      <c r="AB11" s="72"/>
      <c r="AC11" s="75"/>
    </row>
    <row r="12" spans="1:29" s="166" customFormat="1" ht="18" customHeight="1" x14ac:dyDescent="0.3">
      <c r="A12" s="34"/>
      <c r="B12" s="35"/>
      <c r="C12" s="6" t="s">
        <v>27</v>
      </c>
      <c r="D12" s="36"/>
      <c r="E12" s="37"/>
      <c r="F12" s="38"/>
      <c r="G12" s="76"/>
      <c r="H12" s="67"/>
      <c r="I12" s="66"/>
      <c r="J12" s="67"/>
      <c r="K12" s="242"/>
      <c r="L12" s="66"/>
      <c r="M12" s="66"/>
      <c r="N12" s="65"/>
      <c r="O12" s="66"/>
      <c r="P12" s="234"/>
      <c r="Q12" s="261"/>
      <c r="R12" s="67"/>
      <c r="S12" s="66"/>
      <c r="T12" s="65"/>
      <c r="U12" s="66"/>
      <c r="V12" s="65"/>
      <c r="W12" s="66"/>
      <c r="X12" s="66"/>
      <c r="Y12" s="66"/>
      <c r="Z12" s="65"/>
      <c r="AA12" s="65"/>
      <c r="AB12" s="66"/>
      <c r="AC12" s="69"/>
    </row>
    <row r="13" spans="1:29" s="166" customFormat="1" ht="18" customHeight="1" x14ac:dyDescent="0.3">
      <c r="A13" s="12">
        <v>7</v>
      </c>
      <c r="B13" s="13">
        <v>501.2</v>
      </c>
      <c r="C13" s="14" t="s">
        <v>28</v>
      </c>
      <c r="D13" s="15">
        <f t="shared" ref="D13:D19" si="1">SUM(E13:G13)</f>
        <v>37693577.270000003</v>
      </c>
      <c r="E13" s="17">
        <f>1999501+26152.97</f>
        <v>2025653.97</v>
      </c>
      <c r="F13" s="345">
        <f>5843183.67+706008</f>
        <v>6549191.6699999999</v>
      </c>
      <c r="G13" s="195">
        <f t="shared" ref="G13:G19" si="2">SUM(H13:AC13)</f>
        <v>29118731.630000003</v>
      </c>
      <c r="H13" s="67">
        <f>4356749.75+22462.4</f>
        <v>4379212.1500000004</v>
      </c>
      <c r="I13" s="66">
        <v>20737.62</v>
      </c>
      <c r="J13" s="67">
        <f>107806.21+259694.9</f>
        <v>367501.11</v>
      </c>
      <c r="K13" s="242">
        <v>23413.599999999999</v>
      </c>
      <c r="L13" s="66">
        <f>114648.1+410658</f>
        <v>525306.1</v>
      </c>
      <c r="M13" s="66">
        <v>1129</v>
      </c>
      <c r="N13" s="65">
        <v>200833.2</v>
      </c>
      <c r="O13" s="66">
        <f>8503+348819.36</f>
        <v>357322.36</v>
      </c>
      <c r="P13" s="234">
        <v>34434</v>
      </c>
      <c r="Q13" s="261">
        <f>220+16907.42</f>
        <v>17127.419999999998</v>
      </c>
      <c r="R13" s="67">
        <f>8242297.82+1433813.56</f>
        <v>9676111.3800000008</v>
      </c>
      <c r="S13" s="66">
        <f>994+240666.43</f>
        <v>241660.43</v>
      </c>
      <c r="T13" s="65">
        <f>24743+459461.95</f>
        <v>484204.95</v>
      </c>
      <c r="U13" s="66">
        <f>2086218.04+49458.22+4238379.45+332705.59</f>
        <v>6706761.3000000007</v>
      </c>
      <c r="V13" s="65">
        <f>22943+17266.38</f>
        <v>40209.380000000005</v>
      </c>
      <c r="W13" s="66">
        <v>21761</v>
      </c>
      <c r="X13" s="66">
        <v>16725</v>
      </c>
      <c r="Y13" s="66">
        <f>86876.6+75172.42</f>
        <v>162049.02000000002</v>
      </c>
      <c r="Z13" s="65">
        <v>35795</v>
      </c>
      <c r="AA13" s="65">
        <f>29913.04+219036.25+4808109.74+667477</f>
        <v>5724536.0300000003</v>
      </c>
      <c r="AB13" s="66">
        <v>888.6</v>
      </c>
      <c r="AC13" s="69">
        <v>81012.98</v>
      </c>
    </row>
    <row r="14" spans="1:29" s="166" customFormat="1" ht="18" customHeight="1" x14ac:dyDescent="0.3">
      <c r="A14" s="12">
        <v>8</v>
      </c>
      <c r="B14" s="13">
        <v>511</v>
      </c>
      <c r="C14" s="14" t="s">
        <v>29</v>
      </c>
      <c r="D14" s="15">
        <f t="shared" si="1"/>
        <v>605865873.41999996</v>
      </c>
      <c r="E14" s="17">
        <v>817219.47</v>
      </c>
      <c r="F14" s="345"/>
      <c r="G14" s="195">
        <f t="shared" si="2"/>
        <v>605048653.94999993</v>
      </c>
      <c r="H14" s="67">
        <v>240414915.28</v>
      </c>
      <c r="I14" s="66">
        <v>158538.29</v>
      </c>
      <c r="J14" s="67">
        <v>6744712.1600000001</v>
      </c>
      <c r="K14" s="242">
        <v>18311141.460000001</v>
      </c>
      <c r="L14" s="66">
        <v>34639737.719999999</v>
      </c>
      <c r="M14" s="66">
        <v>40019.5</v>
      </c>
      <c r="N14" s="65">
        <v>18283931.809999999</v>
      </c>
      <c r="O14" s="66">
        <v>31379573.920000002</v>
      </c>
      <c r="P14" s="234">
        <v>628608.6</v>
      </c>
      <c r="Q14" s="261">
        <v>825189.9</v>
      </c>
      <c r="R14" s="67">
        <v>106543679.72</v>
      </c>
      <c r="S14" s="66">
        <v>2059251.5</v>
      </c>
      <c r="T14" s="65">
        <v>21665982.899999999</v>
      </c>
      <c r="U14" s="66">
        <f>22616663.88+106973.4</f>
        <v>22723637.279999997</v>
      </c>
      <c r="V14" s="65">
        <f>15265525.21</f>
        <v>15265525.210000001</v>
      </c>
      <c r="W14" s="66">
        <v>9355308.5500000007</v>
      </c>
      <c r="X14" s="66">
        <v>21296387.899999999</v>
      </c>
      <c r="Y14" s="66">
        <v>13590146.48</v>
      </c>
      <c r="Z14" s="65">
        <v>46462.400000000001</v>
      </c>
      <c r="AA14" s="65">
        <f>29803503.93+139913.7</f>
        <v>29943417.629999999</v>
      </c>
      <c r="AB14" s="66">
        <v>186069.5</v>
      </c>
      <c r="AC14" s="69">
        <v>10946416.24</v>
      </c>
    </row>
    <row r="15" spans="1:29" s="166" customFormat="1" ht="18" customHeight="1" x14ac:dyDescent="0.3">
      <c r="A15" s="12">
        <v>9</v>
      </c>
      <c r="B15" s="13" t="s">
        <v>30</v>
      </c>
      <c r="C15" s="14" t="s">
        <v>31</v>
      </c>
      <c r="D15" s="15">
        <f t="shared" si="1"/>
        <v>172906580.72000003</v>
      </c>
      <c r="E15" s="17">
        <v>49789031.640000001</v>
      </c>
      <c r="F15" s="345">
        <v>161909.26999999999</v>
      </c>
      <c r="G15" s="195">
        <f t="shared" si="2"/>
        <v>122955639.81000002</v>
      </c>
      <c r="H15" s="67">
        <v>20739070.489999998</v>
      </c>
      <c r="I15" s="66">
        <v>37968.5</v>
      </c>
      <c r="J15" s="67">
        <v>1770781.74</v>
      </c>
      <c r="K15" s="242">
        <f>1927797.06+1776</f>
        <v>1929573.06</v>
      </c>
      <c r="L15" s="66">
        <v>7706621.5199999996</v>
      </c>
      <c r="M15" s="66">
        <v>62710.11</v>
      </c>
      <c r="N15" s="65">
        <v>7082027.9000000004</v>
      </c>
      <c r="O15" s="66">
        <v>6249010.8600000003</v>
      </c>
      <c r="P15" s="234">
        <v>325665.40000000002</v>
      </c>
      <c r="Q15" s="261">
        <v>219274.7</v>
      </c>
      <c r="R15" s="67">
        <v>36980867.57</v>
      </c>
      <c r="S15" s="66">
        <v>710362.2</v>
      </c>
      <c r="T15" s="65">
        <v>10580882.789999999</v>
      </c>
      <c r="U15" s="66">
        <f>4017+3270523+135147.42</f>
        <v>3409687.42</v>
      </c>
      <c r="V15" s="65">
        <f>2150786.41+6100</f>
        <v>2156886.41</v>
      </c>
      <c r="W15" s="66">
        <f>3316106.69+300</f>
        <v>3316406.69</v>
      </c>
      <c r="X15" s="66">
        <v>8642510.3100000005</v>
      </c>
      <c r="Y15" s="66">
        <f>2315+701+2066515.04</f>
        <v>2069531.04</v>
      </c>
      <c r="Z15" s="65">
        <v>44263.9</v>
      </c>
      <c r="AA15" s="65">
        <f>7941630.97+51223</f>
        <v>7992853.9699999997</v>
      </c>
      <c r="AB15" s="66">
        <v>257895.97</v>
      </c>
      <c r="AC15" s="69">
        <v>670787.26</v>
      </c>
    </row>
    <row r="16" spans="1:29" s="166" customFormat="1" ht="18" customHeight="1" x14ac:dyDescent="0.3">
      <c r="A16" s="12">
        <v>10</v>
      </c>
      <c r="B16" s="13" t="s">
        <v>32</v>
      </c>
      <c r="C16" s="14" t="s">
        <v>33</v>
      </c>
      <c r="D16" s="15">
        <f t="shared" si="1"/>
        <v>46590762</v>
      </c>
      <c r="E16" s="17"/>
      <c r="F16" s="345">
        <f>2464427+836328+9975+42525+206870</f>
        <v>3560125</v>
      </c>
      <c r="G16" s="195">
        <f t="shared" si="2"/>
        <v>43030637</v>
      </c>
      <c r="H16" s="67">
        <f>6691468+2288093</f>
        <v>8979561</v>
      </c>
      <c r="I16" s="66"/>
      <c r="J16" s="67">
        <f>4165254+1412717</f>
        <v>5577971</v>
      </c>
      <c r="K16" s="242">
        <f>2164711+732181</f>
        <v>2896892</v>
      </c>
      <c r="L16" s="66">
        <f>2793539+839330</f>
        <v>3632869</v>
      </c>
      <c r="M16" s="66">
        <v>10200</v>
      </c>
      <c r="N16" s="65"/>
      <c r="O16" s="66"/>
      <c r="P16" s="234"/>
      <c r="Q16" s="261">
        <f>466584+156264</f>
        <v>622848</v>
      </c>
      <c r="R16" s="67">
        <f>1706762+590717+68020</f>
        <v>2365499</v>
      </c>
      <c r="S16" s="66">
        <f>105607+27235</f>
        <v>132842</v>
      </c>
      <c r="T16" s="65"/>
      <c r="U16" s="66">
        <f>1856244+673596+1709314+581170</f>
        <v>4820324</v>
      </c>
      <c r="V16" s="65">
        <f>1458363+505392+43168</f>
        <v>2006923</v>
      </c>
      <c r="W16" s="66"/>
      <c r="X16" s="66"/>
      <c r="Y16" s="66">
        <f>1982664+657539+77856</f>
        <v>2718059</v>
      </c>
      <c r="Z16" s="65">
        <f>26539+9020</f>
        <v>35559</v>
      </c>
      <c r="AA16" s="65">
        <f>3093595+1048643+2333293+788946</f>
        <v>7264477</v>
      </c>
      <c r="AB16" s="66"/>
      <c r="AC16" s="69">
        <f>1473709+492904</f>
        <v>1966613</v>
      </c>
    </row>
    <row r="17" spans="1:29" s="166" customFormat="1" ht="18" customHeight="1" x14ac:dyDescent="0.3">
      <c r="A17" s="12">
        <v>11</v>
      </c>
      <c r="B17" s="13" t="s">
        <v>34</v>
      </c>
      <c r="C17" s="14" t="s">
        <v>35</v>
      </c>
      <c r="D17" s="15">
        <f t="shared" si="1"/>
        <v>2360471.6</v>
      </c>
      <c r="E17" s="17"/>
      <c r="F17" s="345"/>
      <c r="G17" s="195">
        <f t="shared" si="2"/>
        <v>2360471.6</v>
      </c>
      <c r="H17" s="67">
        <v>1855284</v>
      </c>
      <c r="I17" s="66"/>
      <c r="J17" s="67">
        <v>289797.59999999998</v>
      </c>
      <c r="K17" s="242">
        <v>75106</v>
      </c>
      <c r="L17" s="66">
        <v>56222</v>
      </c>
      <c r="M17" s="66"/>
      <c r="N17" s="65">
        <v>2256</v>
      </c>
      <c r="O17" s="66"/>
      <c r="P17" s="234"/>
      <c r="Q17" s="261"/>
      <c r="R17" s="67"/>
      <c r="S17" s="66"/>
      <c r="T17" s="65"/>
      <c r="U17" s="66">
        <v>63336</v>
      </c>
      <c r="V17" s="65">
        <f>5000</f>
        <v>5000</v>
      </c>
      <c r="W17" s="66">
        <v>6820</v>
      </c>
      <c r="X17" s="66"/>
      <c r="Y17" s="66"/>
      <c r="Z17" s="65"/>
      <c r="AA17" s="65"/>
      <c r="AB17" s="66"/>
      <c r="AC17" s="196">
        <v>6650</v>
      </c>
    </row>
    <row r="18" spans="1:29" s="166" customFormat="1" ht="18" customHeight="1" x14ac:dyDescent="0.3">
      <c r="A18" s="12">
        <v>12</v>
      </c>
      <c r="B18" s="13">
        <v>551</v>
      </c>
      <c r="C18" s="167" t="s">
        <v>66</v>
      </c>
      <c r="D18" s="15">
        <f t="shared" si="1"/>
        <v>485915934.19000006</v>
      </c>
      <c r="E18" s="17">
        <f>342459574.66</f>
        <v>342459574.66000003</v>
      </c>
      <c r="F18" s="345"/>
      <c r="G18" s="195">
        <f t="shared" si="2"/>
        <v>143456359.53</v>
      </c>
      <c r="H18" s="67">
        <f>25370418.73</f>
        <v>25370418.73</v>
      </c>
      <c r="I18" s="66">
        <f>574448</f>
        <v>574448</v>
      </c>
      <c r="J18" s="67">
        <f>4349779</f>
        <v>4349779</v>
      </c>
      <c r="K18" s="242">
        <f>6296532.8</f>
        <v>6296532.7999999998</v>
      </c>
      <c r="L18" s="66">
        <f>8765373</f>
        <v>8765373</v>
      </c>
      <c r="M18" s="66">
        <v>214008</v>
      </c>
      <c r="N18" s="65">
        <f>8634476</f>
        <v>8634476</v>
      </c>
      <c r="O18" s="66">
        <f>11251234</f>
        <v>11251234</v>
      </c>
      <c r="P18" s="234">
        <v>806436</v>
      </c>
      <c r="Q18" s="261">
        <f>958310</f>
        <v>958310</v>
      </c>
      <c r="R18" s="67">
        <f>23665771</f>
        <v>23665771</v>
      </c>
      <c r="S18" s="66">
        <v>336144</v>
      </c>
      <c r="T18" s="65">
        <f>10558580</f>
        <v>10558580</v>
      </c>
      <c r="U18" s="66">
        <f>4679762+102225</f>
        <v>4781987</v>
      </c>
      <c r="V18" s="65">
        <f>6248243</f>
        <v>6248243</v>
      </c>
      <c r="W18" s="66">
        <f>4703348</f>
        <v>4703348</v>
      </c>
      <c r="X18" s="66">
        <f>11395859</f>
        <v>11395859</v>
      </c>
      <c r="Y18" s="66">
        <f>5448254</f>
        <v>5448254</v>
      </c>
      <c r="Z18" s="65">
        <v>133816</v>
      </c>
      <c r="AA18" s="65">
        <f>5643581</f>
        <v>5643581</v>
      </c>
      <c r="AB18" s="66">
        <f>244104</f>
        <v>244104</v>
      </c>
      <c r="AC18" s="196">
        <f>3075657</f>
        <v>3075657</v>
      </c>
    </row>
    <row r="19" spans="1:29" s="166" customFormat="1" ht="18" customHeight="1" thickBot="1" x14ac:dyDescent="0.35">
      <c r="A19" s="12">
        <v>13</v>
      </c>
      <c r="B19" s="13" t="s">
        <v>44</v>
      </c>
      <c r="C19" s="14" t="s">
        <v>36</v>
      </c>
      <c r="D19" s="15">
        <f t="shared" si="1"/>
        <v>136146335.32000005</v>
      </c>
      <c r="E19" s="211">
        <f>459727.3+15.92+1345558.53+4360</f>
        <v>1809661.75</v>
      </c>
      <c r="F19" s="73">
        <f>10867.57-456410.6</f>
        <v>-445543.02999999997</v>
      </c>
      <c r="G19" s="212">
        <f t="shared" si="2"/>
        <v>134782216.60000005</v>
      </c>
      <c r="H19" s="71">
        <f>H20-H13-H14-H15-H16-H17-H18</f>
        <v>73688603.210000038</v>
      </c>
      <c r="I19" s="188">
        <f>I20-I13-I14-I15-I16-I17-I18</f>
        <v>1044011.9699999997</v>
      </c>
      <c r="J19" s="189">
        <f>J20-J13-J14-J15-J16-J17-J18</f>
        <v>10042201.510000004</v>
      </c>
      <c r="K19" s="247">
        <f>K20-K13-K14-K15-K16-K17-K18</f>
        <v>2335432.4599999962</v>
      </c>
      <c r="L19" s="205">
        <f t="shared" ref="L19:AC19" si="3">L20-L13-L14-L15-L16-L17-L18</f>
        <v>4060810.5800000019</v>
      </c>
      <c r="M19" s="205">
        <f t="shared" si="3"/>
        <v>1</v>
      </c>
      <c r="N19" s="205">
        <f t="shared" si="3"/>
        <v>440954.5299999956</v>
      </c>
      <c r="O19" s="205">
        <f t="shared" si="3"/>
        <v>682637.25999999791</v>
      </c>
      <c r="P19" s="237">
        <f t="shared" si="3"/>
        <v>5.1400000000139698</v>
      </c>
      <c r="Q19" s="260">
        <f>Q20-Q13-Q14-Q15-Q16-Q17-Q18</f>
        <v>20695.40000000014</v>
      </c>
      <c r="R19" s="213">
        <f t="shared" si="3"/>
        <v>21635195.68</v>
      </c>
      <c r="S19" s="205">
        <f t="shared" si="3"/>
        <v>159967.99999999977</v>
      </c>
      <c r="T19" s="205">
        <f t="shared" si="3"/>
        <v>434656.80000000447</v>
      </c>
      <c r="U19" s="205">
        <f t="shared" si="3"/>
        <v>1168224.7400000002</v>
      </c>
      <c r="V19" s="205">
        <f t="shared" si="3"/>
        <v>723078.33999999985</v>
      </c>
      <c r="W19" s="205">
        <f t="shared" si="3"/>
        <v>4297542.7499999981</v>
      </c>
      <c r="X19" s="205">
        <f t="shared" si="3"/>
        <v>7324778.1499999985</v>
      </c>
      <c r="Y19" s="205">
        <f t="shared" si="3"/>
        <v>900796.22000000253</v>
      </c>
      <c r="Z19" s="205">
        <f t="shared" si="3"/>
        <v>11486.600000000035</v>
      </c>
      <c r="AA19" s="205">
        <f t="shared" si="3"/>
        <v>2515130.9600000046</v>
      </c>
      <c r="AB19" s="205">
        <f t="shared" si="3"/>
        <v>-4441.7699999999313</v>
      </c>
      <c r="AC19" s="214">
        <f t="shared" si="3"/>
        <v>3300447.0700000003</v>
      </c>
    </row>
    <row r="20" spans="1:29" s="166" customFormat="1" ht="18" customHeight="1" thickBot="1" x14ac:dyDescent="0.35">
      <c r="A20" s="23">
        <v>14</v>
      </c>
      <c r="B20" s="24"/>
      <c r="C20" s="25" t="s">
        <v>54</v>
      </c>
      <c r="D20" s="39">
        <f>SUM(D13:D19)</f>
        <v>1487479534.52</v>
      </c>
      <c r="E20" s="40">
        <f>SUM(E13:E19)</f>
        <v>396901141.49000001</v>
      </c>
      <c r="F20" s="41">
        <f>SUM(F13:F19)</f>
        <v>9825682.9100000001</v>
      </c>
      <c r="G20" s="206">
        <f>SUM(G13:G19)</f>
        <v>1080752710.1200001</v>
      </c>
      <c r="H20" s="201">
        <v>375427064.86000001</v>
      </c>
      <c r="I20" s="267">
        <v>1835704.38</v>
      </c>
      <c r="J20" s="266">
        <f>29134730.68+8013.44</f>
        <v>29142744.120000001</v>
      </c>
      <c r="K20" s="248">
        <v>31868091.379999999</v>
      </c>
      <c r="L20" s="231">
        <v>59386939.920000002</v>
      </c>
      <c r="M20" s="231">
        <f>328067.61</f>
        <v>328067.61</v>
      </c>
      <c r="N20" s="231">
        <f>34570442.41+74037.03</f>
        <v>34644479.439999998</v>
      </c>
      <c r="O20" s="231">
        <v>49919778.399999999</v>
      </c>
      <c r="P20" s="257">
        <v>1795149.14</v>
      </c>
      <c r="Q20" s="245">
        <v>2663445.42</v>
      </c>
      <c r="R20" s="255">
        <v>200867124.34999999</v>
      </c>
      <c r="S20" s="231">
        <v>3640228.13</v>
      </c>
      <c r="T20" s="231">
        <f>43645339.6+78967.84</f>
        <v>43724307.440000005</v>
      </c>
      <c r="U20" s="231">
        <f>36465400.54+7208557.2</f>
        <v>43673957.740000002</v>
      </c>
      <c r="V20" s="231">
        <f>26424129.74+21735.6</f>
        <v>26445865.34</v>
      </c>
      <c r="W20" s="231">
        <v>21701186.989999998</v>
      </c>
      <c r="X20" s="231">
        <v>48676260.359999999</v>
      </c>
      <c r="Y20" s="231">
        <v>24888835.760000002</v>
      </c>
      <c r="Z20" s="231">
        <v>307382.90000000002</v>
      </c>
      <c r="AA20" s="231">
        <f>49541006.28+9542990.31</f>
        <v>59083996.590000004</v>
      </c>
      <c r="AB20" s="231">
        <v>684516.3</v>
      </c>
      <c r="AC20" s="265">
        <v>20047583.550000001</v>
      </c>
    </row>
    <row r="21" spans="1:29" s="166" customFormat="1" ht="18" customHeight="1" thickBot="1" x14ac:dyDescent="0.35">
      <c r="A21" s="2"/>
      <c r="B21" s="3"/>
      <c r="C21" s="42"/>
      <c r="D21" s="43"/>
      <c r="E21" s="44"/>
      <c r="F21" s="45"/>
      <c r="G21" s="77"/>
      <c r="H21" s="78"/>
      <c r="I21" s="175"/>
      <c r="J21" s="178"/>
      <c r="K21" s="249"/>
      <c r="L21" s="176"/>
      <c r="M21" s="176"/>
      <c r="N21" s="177"/>
      <c r="O21" s="175"/>
      <c r="P21" s="238"/>
      <c r="Q21" s="262"/>
      <c r="R21" s="178"/>
      <c r="S21" s="175"/>
      <c r="T21" s="177"/>
      <c r="U21" s="176"/>
      <c r="V21" s="177"/>
      <c r="W21" s="175"/>
      <c r="X21" s="175"/>
      <c r="Y21" s="175"/>
      <c r="Z21" s="177"/>
      <c r="AA21" s="177"/>
      <c r="AB21" s="175"/>
      <c r="AC21" s="179"/>
    </row>
    <row r="22" spans="1:29" s="168" customFormat="1" ht="18" customHeight="1" thickBot="1" x14ac:dyDescent="0.35">
      <c r="A22" s="23">
        <v>15</v>
      </c>
      <c r="B22" s="24"/>
      <c r="C22" s="25" t="s">
        <v>55</v>
      </c>
      <c r="D22" s="39">
        <f>SUM(D10-D20)</f>
        <v>668752564.03000021</v>
      </c>
      <c r="E22" s="40">
        <f>0+E10-E20</f>
        <v>219708700.92999995</v>
      </c>
      <c r="F22" s="46">
        <f>0+F10-F20</f>
        <v>652459.49000000022</v>
      </c>
      <c r="G22" s="207">
        <f t="shared" ref="G22" si="4">SUM(G10-G20)</f>
        <v>448391403.60999966</v>
      </c>
      <c r="H22" s="40">
        <f>SUM(H10-H20)</f>
        <v>-8844187.7700000405</v>
      </c>
      <c r="I22" s="202">
        <f t="shared" ref="I22:AB22" si="5">SUM(I10-I20)</f>
        <v>-1016383.5099999999</v>
      </c>
      <c r="J22" s="201">
        <f t="shared" si="5"/>
        <v>18856754.41</v>
      </c>
      <c r="K22" s="250">
        <f t="shared" si="5"/>
        <v>8161293.2500000037</v>
      </c>
      <c r="L22" s="202">
        <f t="shared" si="5"/>
        <v>18167242.719999999</v>
      </c>
      <c r="M22" s="202">
        <f t="shared" si="5"/>
        <v>341753.32999999996</v>
      </c>
      <c r="N22" s="203">
        <f t="shared" si="5"/>
        <v>44794295</v>
      </c>
      <c r="O22" s="202">
        <f t="shared" si="5"/>
        <v>35306752.690000005</v>
      </c>
      <c r="P22" s="41">
        <f t="shared" si="5"/>
        <v>2100430.0099999998</v>
      </c>
      <c r="Q22" s="263">
        <f t="shared" si="5"/>
        <v>6072686.6199999992</v>
      </c>
      <c r="R22" s="201">
        <f t="shared" si="5"/>
        <v>86838111.450000018</v>
      </c>
      <c r="S22" s="202">
        <f t="shared" si="5"/>
        <v>1363223.4500000002</v>
      </c>
      <c r="T22" s="203">
        <f t="shared" si="5"/>
        <v>67112954.25999999</v>
      </c>
      <c r="U22" s="202">
        <f t="shared" si="5"/>
        <v>8968293.1000000015</v>
      </c>
      <c r="V22" s="203">
        <f t="shared" si="5"/>
        <v>18818991.209999997</v>
      </c>
      <c r="W22" s="202">
        <f t="shared" si="5"/>
        <v>15035432.239999998</v>
      </c>
      <c r="X22" s="202">
        <f t="shared" si="5"/>
        <v>63824382.120000005</v>
      </c>
      <c r="Y22" s="202">
        <f t="shared" si="5"/>
        <v>11239422.190000001</v>
      </c>
      <c r="Z22" s="202">
        <f t="shared" si="5"/>
        <v>194917.87</v>
      </c>
      <c r="AA22" s="203">
        <f t="shared" si="5"/>
        <v>47537858.899999991</v>
      </c>
      <c r="AB22" s="202">
        <f t="shared" si="5"/>
        <v>313325.6399999999</v>
      </c>
      <c r="AC22" s="204">
        <f>SUM(AC10-AC20)</f>
        <v>3203854.4299999997</v>
      </c>
    </row>
    <row r="23" spans="1:29" s="166" customFormat="1" ht="18" customHeight="1" x14ac:dyDescent="0.3">
      <c r="A23" s="2"/>
      <c r="B23" s="3"/>
      <c r="C23" s="42"/>
      <c r="D23" s="43"/>
      <c r="E23" s="44"/>
      <c r="F23" s="45"/>
      <c r="G23" s="77"/>
      <c r="H23" s="44"/>
      <c r="I23" s="180"/>
      <c r="J23" s="182"/>
      <c r="K23" s="251"/>
      <c r="L23" s="176"/>
      <c r="M23" s="176"/>
      <c r="N23" s="181"/>
      <c r="O23" s="176"/>
      <c r="P23" s="239"/>
      <c r="Q23" s="264"/>
      <c r="R23" s="182"/>
      <c r="S23" s="176"/>
      <c r="T23" s="181"/>
      <c r="U23" s="175"/>
      <c r="V23" s="181"/>
      <c r="W23" s="176"/>
      <c r="X23" s="176"/>
      <c r="Y23" s="176"/>
      <c r="Z23" s="181"/>
      <c r="AA23" s="181"/>
      <c r="AB23" s="176"/>
      <c r="AC23" s="183"/>
    </row>
    <row r="24" spans="1:29" s="166" customFormat="1" ht="18" customHeight="1" x14ac:dyDescent="0.3">
      <c r="A24" s="12">
        <v>16</v>
      </c>
      <c r="B24" s="13">
        <v>591</v>
      </c>
      <c r="C24" s="14" t="s">
        <v>37</v>
      </c>
      <c r="D24" s="15">
        <f>SUM(E24:G24)</f>
        <v>108735933.62</v>
      </c>
      <c r="E24" s="17"/>
      <c r="F24" s="18">
        <v>76555</v>
      </c>
      <c r="G24" s="195">
        <f>SUM(H24:AC24)</f>
        <v>108659378.62</v>
      </c>
      <c r="H24" s="17">
        <v>14004925</v>
      </c>
      <c r="I24" s="66">
        <v>0</v>
      </c>
      <c r="J24" s="67">
        <v>4846015</v>
      </c>
      <c r="K24" s="252">
        <v>2490726</v>
      </c>
      <c r="L24" s="208">
        <v>4951971</v>
      </c>
      <c r="M24" s="208">
        <v>94212</v>
      </c>
      <c r="N24" s="208">
        <v>10120468</v>
      </c>
      <c r="O24" s="208">
        <v>8846244</v>
      </c>
      <c r="P24" s="240">
        <v>397808</v>
      </c>
      <c r="Q24" s="261">
        <v>1335134</v>
      </c>
      <c r="R24" s="67">
        <v>10029055</v>
      </c>
      <c r="S24" s="208">
        <v>322880</v>
      </c>
      <c r="T24" s="208">
        <v>12573181</v>
      </c>
      <c r="U24" s="208">
        <f>506089.62+150</f>
        <v>506239.62</v>
      </c>
      <c r="V24" s="208">
        <v>4831963</v>
      </c>
      <c r="W24" s="208">
        <v>2216464</v>
      </c>
      <c r="X24" s="208">
        <v>15602078</v>
      </c>
      <c r="Y24" s="208">
        <v>3242257</v>
      </c>
      <c r="Z24" s="208">
        <v>60962</v>
      </c>
      <c r="AA24" s="208">
        <f>10333145+51149</f>
        <v>10384294</v>
      </c>
      <c r="AB24" s="209">
        <v>70575</v>
      </c>
      <c r="AC24" s="75">
        <v>1731927</v>
      </c>
    </row>
    <row r="25" spans="1:29" s="166" customFormat="1" ht="18" customHeight="1" thickBot="1" x14ac:dyDescent="0.35">
      <c r="A25" s="2"/>
      <c r="B25" s="3"/>
      <c r="C25" s="42"/>
      <c r="D25" s="43"/>
      <c r="E25" s="44"/>
      <c r="F25" s="45"/>
      <c r="G25" s="77"/>
      <c r="H25" s="184"/>
      <c r="I25" s="185"/>
      <c r="J25" s="189"/>
      <c r="K25" s="253"/>
      <c r="L25" s="186"/>
      <c r="M25" s="186"/>
      <c r="N25" s="187"/>
      <c r="O25" s="188"/>
      <c r="P25" s="258"/>
      <c r="Q25" s="205"/>
      <c r="R25" s="189"/>
      <c r="S25" s="188"/>
      <c r="T25" s="187"/>
      <c r="U25" s="188"/>
      <c r="V25" s="187"/>
      <c r="W25" s="188"/>
      <c r="X25" s="188"/>
      <c r="Y25" s="188"/>
      <c r="Z25" s="187"/>
      <c r="AA25" s="187"/>
      <c r="AB25" s="188"/>
      <c r="AC25" s="190"/>
    </row>
    <row r="26" spans="1:29" s="166" customFormat="1" ht="18" customHeight="1" thickBot="1" x14ac:dyDescent="0.35">
      <c r="A26" s="191">
        <v>17</v>
      </c>
      <c r="B26" s="192"/>
      <c r="C26" s="47" t="s">
        <v>56</v>
      </c>
      <c r="D26" s="48">
        <f>D22-D24</f>
        <v>560016630.41000021</v>
      </c>
      <c r="E26" s="49">
        <f>0+E22-E24</f>
        <v>219708700.92999995</v>
      </c>
      <c r="F26" s="50">
        <f>0+F22-F24</f>
        <v>575904.49000000022</v>
      </c>
      <c r="G26" s="210">
        <f t="shared" ref="G26" si="6">SUM(G22-G24)</f>
        <v>339732024.98999965</v>
      </c>
      <c r="H26" s="49">
        <f t="shared" ref="H26:AC26" si="7">SUM(H22-H24)</f>
        <v>-22849112.770000041</v>
      </c>
      <c r="I26" s="311">
        <f t="shared" si="7"/>
        <v>-1016383.5099999999</v>
      </c>
      <c r="J26" s="312">
        <f t="shared" si="7"/>
        <v>14010739.41</v>
      </c>
      <c r="K26" s="313">
        <f t="shared" si="7"/>
        <v>5670567.2500000037</v>
      </c>
      <c r="L26" s="311">
        <f t="shared" si="7"/>
        <v>13215271.719999999</v>
      </c>
      <c r="M26" s="311">
        <f t="shared" si="7"/>
        <v>247541.32999999996</v>
      </c>
      <c r="N26" s="314">
        <f t="shared" si="7"/>
        <v>34673827</v>
      </c>
      <c r="O26" s="311">
        <f t="shared" si="7"/>
        <v>26460508.690000005</v>
      </c>
      <c r="P26" s="315">
        <f t="shared" si="7"/>
        <v>1702622.0099999998</v>
      </c>
      <c r="Q26" s="316">
        <f t="shared" si="7"/>
        <v>4737552.6199999992</v>
      </c>
      <c r="R26" s="312">
        <f t="shared" si="7"/>
        <v>76809056.450000018</v>
      </c>
      <c r="S26" s="311">
        <f t="shared" si="7"/>
        <v>1040343.4500000002</v>
      </c>
      <c r="T26" s="314">
        <f t="shared" si="7"/>
        <v>54539773.25999999</v>
      </c>
      <c r="U26" s="311">
        <f t="shared" si="7"/>
        <v>8462053.4800000023</v>
      </c>
      <c r="V26" s="314">
        <f t="shared" si="7"/>
        <v>13987028.209999997</v>
      </c>
      <c r="W26" s="311">
        <f t="shared" si="7"/>
        <v>12818968.239999998</v>
      </c>
      <c r="X26" s="311">
        <f t="shared" si="7"/>
        <v>48222304.120000005</v>
      </c>
      <c r="Y26" s="311">
        <f t="shared" si="7"/>
        <v>7997165.1900000013</v>
      </c>
      <c r="Z26" s="311">
        <f t="shared" si="7"/>
        <v>133955.87</v>
      </c>
      <c r="AA26" s="314">
        <f t="shared" si="7"/>
        <v>37153564.899999991</v>
      </c>
      <c r="AB26" s="311">
        <f t="shared" si="7"/>
        <v>242750.6399999999</v>
      </c>
      <c r="AC26" s="317">
        <f t="shared" si="7"/>
        <v>1471927.4299999997</v>
      </c>
    </row>
    <row r="27" spans="1:29" s="166" customFormat="1" ht="12.75" customHeight="1" thickTop="1" x14ac:dyDescent="0.3">
      <c r="A27" s="51"/>
      <c r="B27" s="51"/>
      <c r="C27" s="52"/>
      <c r="D27" s="53"/>
      <c r="E27" s="54"/>
      <c r="F27" s="54"/>
      <c r="G27" s="53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79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</row>
    <row r="28" spans="1:29" s="166" customFormat="1" ht="18" customHeight="1" x14ac:dyDescent="0.3">
      <c r="A28" s="51"/>
      <c r="B28" s="51"/>
      <c r="C28" s="143" t="s">
        <v>45</v>
      </c>
      <c r="D28" s="53"/>
      <c r="E28" s="54"/>
      <c r="F28" s="54"/>
      <c r="G28" s="53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:29" s="166" customFormat="1" ht="9.75" customHeight="1" thickBot="1" x14ac:dyDescent="0.35">
      <c r="A29" s="51"/>
      <c r="B29" s="51"/>
      <c r="C29" s="143"/>
      <c r="D29" s="53"/>
      <c r="E29" s="54"/>
      <c r="F29" s="54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</row>
    <row r="30" spans="1:29" s="171" customFormat="1" ht="18" customHeight="1" x14ac:dyDescent="0.3">
      <c r="A30" s="162" t="s">
        <v>53</v>
      </c>
      <c r="B30" s="193">
        <v>377</v>
      </c>
      <c r="C30" s="131" t="s">
        <v>47</v>
      </c>
      <c r="D30" s="161">
        <f>SUM(E30:G30)</f>
        <v>88016941.450000003</v>
      </c>
      <c r="E30" s="132">
        <v>11673012.08</v>
      </c>
      <c r="F30" s="133">
        <v>647278.82999999996</v>
      </c>
      <c r="G30" s="133">
        <f>SUM(H30:AC30)</f>
        <v>75696650.540000007</v>
      </c>
      <c r="H30" s="318">
        <v>6423005.2199999997</v>
      </c>
      <c r="I30" s="319"/>
      <c r="J30" s="320">
        <v>0</v>
      </c>
      <c r="K30" s="321">
        <v>43500</v>
      </c>
      <c r="L30" s="321">
        <v>4126604.63</v>
      </c>
      <c r="M30" s="321"/>
      <c r="N30" s="321"/>
      <c r="O30" s="321">
        <v>3635870</v>
      </c>
      <c r="P30" s="320"/>
      <c r="Q30" s="322">
        <v>518962</v>
      </c>
      <c r="R30" s="323">
        <v>190</v>
      </c>
      <c r="S30" s="321">
        <v>0</v>
      </c>
      <c r="T30" s="321">
        <v>7039528</v>
      </c>
      <c r="U30" s="321">
        <f>5787356.3+431665.64</f>
        <v>6219021.9399999995</v>
      </c>
      <c r="V30" s="321"/>
      <c r="W30" s="322">
        <v>8976393.2599999998</v>
      </c>
      <c r="X30" s="324">
        <v>38195815.380000003</v>
      </c>
      <c r="Y30" s="321">
        <v>85215</v>
      </c>
      <c r="Z30" s="321">
        <v>270</v>
      </c>
      <c r="AA30" s="321">
        <f>354165</f>
        <v>354165</v>
      </c>
      <c r="AB30" s="321"/>
      <c r="AC30" s="325">
        <v>78110.11</v>
      </c>
    </row>
    <row r="31" spans="1:29" s="171" customFormat="1" ht="18" customHeight="1" x14ac:dyDescent="0.3">
      <c r="A31" s="163" t="s">
        <v>51</v>
      </c>
      <c r="B31" s="130">
        <v>378</v>
      </c>
      <c r="C31" s="194" t="s">
        <v>40</v>
      </c>
      <c r="D31" s="15">
        <f>SUM(E31:G31)</f>
        <v>-642731908.75999999</v>
      </c>
      <c r="E31" s="17">
        <v>-227402506.00999999</v>
      </c>
      <c r="F31" s="345">
        <v>-24473</v>
      </c>
      <c r="G31" s="18">
        <f>SUM(H31:AC31)</f>
        <v>-415304929.75</v>
      </c>
      <c r="H31" s="326">
        <v>-171986336.06999999</v>
      </c>
      <c r="I31" s="327">
        <v>1157360.68</v>
      </c>
      <c r="J31" s="328">
        <v>2842672.24</v>
      </c>
      <c r="K31" s="329">
        <v>6204076.7300000004</v>
      </c>
      <c r="L31" s="329">
        <v>8014089.8799999999</v>
      </c>
      <c r="M31" s="329">
        <v>132066.6</v>
      </c>
      <c r="N31" s="208">
        <v>-218763695.94</v>
      </c>
      <c r="O31" s="329">
        <v>11887426.880000001</v>
      </c>
      <c r="P31" s="328">
        <v>800498.16</v>
      </c>
      <c r="Q31" s="330">
        <v>966990</v>
      </c>
      <c r="R31" s="67">
        <v>-72260402.450000003</v>
      </c>
      <c r="S31" s="329">
        <v>336144</v>
      </c>
      <c r="T31" s="331">
        <v>-13563596.439999999</v>
      </c>
      <c r="U31" s="208">
        <f>2202396.86+90816.06</f>
        <v>2293212.92</v>
      </c>
      <c r="V31" s="208">
        <f>-4682611.72</f>
        <v>-4682611.72</v>
      </c>
      <c r="W31" s="332">
        <v>4470455.37</v>
      </c>
      <c r="X31" s="333">
        <v>10662266.9</v>
      </c>
      <c r="Y31" s="329">
        <v>5455933.8799999999</v>
      </c>
      <c r="Z31" s="329">
        <v>67051.199999999997</v>
      </c>
      <c r="AA31" s="329">
        <f>7839863.21</f>
        <v>7839863.21</v>
      </c>
      <c r="AB31" s="329"/>
      <c r="AC31" s="334">
        <v>2821604.22</v>
      </c>
    </row>
    <row r="32" spans="1:29" s="80" customFormat="1" ht="19.5" thickBot="1" x14ac:dyDescent="0.35">
      <c r="A32" s="164" t="s">
        <v>52</v>
      </c>
      <c r="B32" s="134">
        <v>241</v>
      </c>
      <c r="C32" s="169" t="s">
        <v>46</v>
      </c>
      <c r="D32" s="160">
        <f>SUM(E32:G32)</f>
        <v>919755787.22000003</v>
      </c>
      <c r="E32" s="135">
        <v>129603368.5</v>
      </c>
      <c r="F32" s="136">
        <v>1290688.83</v>
      </c>
      <c r="G32" s="136">
        <f>SUM(H32:AC32)</f>
        <v>788861729.88999999</v>
      </c>
      <c r="H32" s="335">
        <v>112050480.43000001</v>
      </c>
      <c r="I32" s="336">
        <v>1155196.45</v>
      </c>
      <c r="J32" s="337">
        <v>104726703.64</v>
      </c>
      <c r="K32" s="338">
        <v>12152766.74</v>
      </c>
      <c r="L32" s="338">
        <v>60204460.950000003</v>
      </c>
      <c r="M32" s="338">
        <v>4274943.6399999997</v>
      </c>
      <c r="N32" s="338">
        <v>13394137.189999999</v>
      </c>
      <c r="O32" s="338">
        <v>45089794.119999997</v>
      </c>
      <c r="P32" s="337">
        <v>1844914.69</v>
      </c>
      <c r="Q32" s="339">
        <v>7048243.71</v>
      </c>
      <c r="R32" s="340">
        <v>73970636.310000002</v>
      </c>
      <c r="S32" s="338">
        <v>7609982.3600000003</v>
      </c>
      <c r="T32" s="341">
        <v>61119912.130000003</v>
      </c>
      <c r="U32" s="338">
        <f>21473015.68+821235.73</f>
        <v>22294251.41</v>
      </c>
      <c r="V32" s="338">
        <v>13545640.619999999</v>
      </c>
      <c r="W32" s="339">
        <v>43366788.170000002</v>
      </c>
      <c r="X32" s="342">
        <v>58484086.57</v>
      </c>
      <c r="Y32" s="338">
        <v>33224324.579999998</v>
      </c>
      <c r="Z32" s="338">
        <v>2063496.98</v>
      </c>
      <c r="AA32" s="338">
        <f>77540063.75+521860.53</f>
        <v>78061924.280000001</v>
      </c>
      <c r="AB32" s="338">
        <v>8602324.9900000002</v>
      </c>
      <c r="AC32" s="343">
        <v>24576719.93</v>
      </c>
    </row>
    <row r="33" spans="1:29" s="80" customFormat="1" ht="19.5" thickBot="1" x14ac:dyDescent="0.35">
      <c r="A33" s="164" t="s">
        <v>67</v>
      </c>
      <c r="B33" s="134">
        <v>432</v>
      </c>
      <c r="C33" s="169" t="s">
        <v>68</v>
      </c>
      <c r="D33" s="160">
        <f>SUM(E33:G33)</f>
        <v>775333316.79000008</v>
      </c>
      <c r="E33" s="135">
        <v>52331445.68</v>
      </c>
      <c r="F33" s="136">
        <v>783880.8</v>
      </c>
      <c r="G33" s="136">
        <f>SUM(H33:AC33)</f>
        <v>722217990.31000006</v>
      </c>
      <c r="H33" s="335">
        <v>285871716.82999998</v>
      </c>
      <c r="I33" s="336">
        <v>3747374.64</v>
      </c>
      <c r="J33" s="336">
        <v>109703968.95</v>
      </c>
      <c r="K33" s="347"/>
      <c r="L33" s="351">
        <v>50097883.289999999</v>
      </c>
      <c r="M33" s="351">
        <v>1715997.21</v>
      </c>
      <c r="N33" s="351">
        <v>159076564.53</v>
      </c>
      <c r="O33" s="347"/>
      <c r="P33" s="346"/>
      <c r="Q33" s="352">
        <v>-2351876.1</v>
      </c>
      <c r="R33" s="354">
        <v>469681.4</v>
      </c>
      <c r="S33" s="351">
        <v>8234594.7000000002</v>
      </c>
      <c r="T33" s="348"/>
      <c r="U33" s="351">
        <f>9519729.9+389974.47</f>
        <v>9909704.370000001</v>
      </c>
      <c r="V33" s="351">
        <v>5020415.08</v>
      </c>
      <c r="W33" s="352">
        <v>22888593</v>
      </c>
      <c r="X33" s="349"/>
      <c r="Y33" s="351">
        <v>14321518.220000001</v>
      </c>
      <c r="Z33" s="351">
        <v>1117880.0900000001</v>
      </c>
      <c r="AA33" s="351">
        <v>30719290</v>
      </c>
      <c r="AB33" s="351">
        <v>2307311.13</v>
      </c>
      <c r="AC33" s="353">
        <v>19367372.969999999</v>
      </c>
    </row>
    <row r="34" spans="1:29" s="166" customFormat="1" ht="18" x14ac:dyDescent="0.25">
      <c r="E34" s="58"/>
      <c r="F34" s="58"/>
      <c r="G34" s="58"/>
      <c r="H34" s="58"/>
      <c r="I34" s="58"/>
      <c r="J34" s="58"/>
      <c r="K34" s="58"/>
      <c r="L34" s="58"/>
      <c r="M34" s="171"/>
    </row>
    <row r="35" spans="1:29" ht="18" x14ac:dyDescent="0.25">
      <c r="E35" s="58"/>
      <c r="F35" s="58"/>
      <c r="G35" s="60"/>
      <c r="H35" s="58"/>
      <c r="I35" s="58"/>
      <c r="J35" s="58"/>
      <c r="K35" s="58"/>
      <c r="L35" s="58"/>
      <c r="M35" s="59"/>
      <c r="W35" s="233"/>
    </row>
    <row r="36" spans="1:29" ht="18" x14ac:dyDescent="0.25">
      <c r="E36" s="58"/>
      <c r="F36" s="58"/>
      <c r="G36" s="58"/>
      <c r="H36" s="58"/>
      <c r="I36" s="58"/>
      <c r="J36" s="58"/>
      <c r="K36" s="58"/>
      <c r="L36" s="58"/>
      <c r="M36" s="59"/>
      <c r="AA36" s="1" t="s">
        <v>39</v>
      </c>
    </row>
    <row r="37" spans="1:29" ht="18" x14ac:dyDescent="0.25">
      <c r="D37" s="59"/>
      <c r="E37" s="61"/>
      <c r="F37" s="61"/>
      <c r="G37" s="61"/>
      <c r="H37" s="61"/>
      <c r="I37" s="61"/>
      <c r="J37" s="61"/>
      <c r="K37" s="61"/>
      <c r="L37" s="61"/>
    </row>
    <row r="38" spans="1:29" ht="18" x14ac:dyDescent="0.25">
      <c r="E38" s="61"/>
      <c r="F38" s="61"/>
      <c r="G38" s="61"/>
      <c r="H38" s="61"/>
      <c r="I38" s="61"/>
      <c r="J38" s="61"/>
      <c r="K38" s="61"/>
      <c r="L38" s="61"/>
    </row>
    <row r="39" spans="1:29" ht="18" x14ac:dyDescent="0.25">
      <c r="E39" s="61"/>
      <c r="F39" s="61"/>
      <c r="G39" s="61"/>
      <c r="H39" s="61"/>
      <c r="I39" s="61"/>
      <c r="J39" s="61"/>
      <c r="K39" s="61"/>
      <c r="L39" s="61"/>
    </row>
    <row r="40" spans="1:29" ht="18" x14ac:dyDescent="0.25">
      <c r="E40" s="61"/>
      <c r="F40" s="61"/>
      <c r="G40" s="61"/>
      <c r="H40" s="61"/>
      <c r="I40" s="61"/>
      <c r="J40" s="61"/>
      <c r="K40" s="61"/>
      <c r="L40" s="61"/>
    </row>
    <row r="41" spans="1:29" ht="18" x14ac:dyDescent="0.25">
      <c r="E41" s="61"/>
      <c r="F41" s="61"/>
      <c r="G41" s="61"/>
      <c r="H41" s="61"/>
      <c r="I41" s="61"/>
      <c r="J41" s="61"/>
      <c r="K41" s="61"/>
      <c r="L41" s="61"/>
    </row>
    <row r="42" spans="1:29" ht="18" x14ac:dyDescent="0.25">
      <c r="E42" s="61"/>
      <c r="F42" s="61"/>
      <c r="G42" s="61"/>
      <c r="H42" s="61"/>
      <c r="I42" s="61"/>
      <c r="J42" s="61"/>
      <c r="K42" s="61"/>
      <c r="L42" s="61"/>
    </row>
    <row r="43" spans="1:29" ht="18" x14ac:dyDescent="0.25">
      <c r="E43" s="61"/>
      <c r="F43" s="61"/>
      <c r="G43" s="61"/>
      <c r="H43" s="61"/>
      <c r="I43" s="61"/>
      <c r="J43" s="61"/>
      <c r="K43" s="61"/>
      <c r="L43" s="61"/>
    </row>
    <row r="44" spans="1:29" ht="18" x14ac:dyDescent="0.25">
      <c r="E44" s="61"/>
      <c r="F44" s="61"/>
      <c r="G44" s="61"/>
      <c r="H44" s="61"/>
      <c r="I44" s="61"/>
      <c r="J44" s="61"/>
      <c r="K44" s="61"/>
      <c r="L44" s="61"/>
    </row>
    <row r="45" spans="1:29" ht="18" x14ac:dyDescent="0.25">
      <c r="E45" s="61"/>
      <c r="F45" s="61"/>
      <c r="G45" s="61"/>
      <c r="H45" s="61"/>
      <c r="I45" s="61"/>
      <c r="J45" s="61"/>
      <c r="K45" s="61"/>
      <c r="L45" s="61"/>
    </row>
  </sheetData>
  <mergeCells count="30">
    <mergeCell ref="AA1:AA3"/>
    <mergeCell ref="AB1:AB3"/>
    <mergeCell ref="AC1:AC3"/>
    <mergeCell ref="V1:V3"/>
    <mergeCell ref="W1:W3"/>
    <mergeCell ref="X1:X3"/>
    <mergeCell ref="Y1:Y3"/>
    <mergeCell ref="Z1:Z3"/>
    <mergeCell ref="Q1:Q3"/>
    <mergeCell ref="R1:R3"/>
    <mergeCell ref="S1:S3"/>
    <mergeCell ref="T1:T3"/>
    <mergeCell ref="U1:U3"/>
    <mergeCell ref="L1:L3"/>
    <mergeCell ref="M1:M3"/>
    <mergeCell ref="N1:N3"/>
    <mergeCell ref="O1:O3"/>
    <mergeCell ref="P1:P3"/>
    <mergeCell ref="G1:G3"/>
    <mergeCell ref="H1:H3"/>
    <mergeCell ref="I1:I3"/>
    <mergeCell ref="J1:J3"/>
    <mergeCell ref="K1:K3"/>
    <mergeCell ref="E1:F1"/>
    <mergeCell ref="A1:A3"/>
    <mergeCell ref="B1:B3"/>
    <mergeCell ref="C1:C3"/>
    <mergeCell ref="D1:D3"/>
    <mergeCell ref="E2:E3"/>
    <mergeCell ref="F2:F3"/>
  </mergeCells>
  <phoneticPr fontId="0" type="noConversion"/>
  <printOptions horizontalCentered="1"/>
  <pageMargins left="0.51181102362204722" right="0.51181102362204722" top="1.6535433070866143" bottom="0.9055118110236221" header="1.0236220472440944" footer="0.51181102362204722"/>
  <pageSetup paperSize="9" scale="68" fitToHeight="4" orientation="landscape" r:id="rId1"/>
  <headerFooter alignWithMargins="0">
    <oddHeader>&amp;C&amp;"Times New Roman CE,Tučné"&amp;20Přehled o vedlejší hospodářské činnosti statutárního města Brna za rok 2014 (v Kč)</oddHeader>
    <oddFooter>&amp;R&amp;P/&amp;N</oddFooter>
  </headerFooter>
  <colBreaks count="3" manualBreakCount="3">
    <brk id="9" max="1048575" man="1"/>
    <brk id="16" max="1048575" man="1"/>
    <brk id="2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K42"/>
  <sheetViews>
    <sheetView showZeros="0" view="pageBreakPreview" zoomScale="75" zoomScaleNormal="70" zoomScaleSheetLayoutView="75" workbookViewId="0">
      <pane xSplit="3" topLeftCell="D1" activePane="topRight" state="frozen"/>
      <selection sqref="A1:A3"/>
      <selection pane="topRight" sqref="A1:A3"/>
    </sheetView>
  </sheetViews>
  <sheetFormatPr defaultColWidth="12.6640625" defaultRowHeight="15" x14ac:dyDescent="0.2"/>
  <cols>
    <col min="1" max="1" width="5" style="1" customWidth="1"/>
    <col min="2" max="2" width="7.5546875" style="1" customWidth="1"/>
    <col min="3" max="3" width="51.6640625" style="1" customWidth="1"/>
    <col min="4" max="4" width="16.88671875" style="1" hidden="1" customWidth="1"/>
    <col min="5" max="6" width="14.77734375" style="1" customWidth="1"/>
    <col min="7" max="7" width="16.88671875" style="1" bestFit="1" customWidth="1"/>
    <col min="8" max="29" width="14.77734375" style="1" customWidth="1"/>
    <col min="30" max="16384" width="12.6640625" style="1"/>
  </cols>
  <sheetData>
    <row r="1" spans="1:29" ht="18" customHeight="1" thickTop="1" x14ac:dyDescent="0.3">
      <c r="A1" s="357" t="s">
        <v>1</v>
      </c>
      <c r="B1" s="360" t="s">
        <v>2</v>
      </c>
      <c r="C1" s="360" t="s">
        <v>3</v>
      </c>
      <c r="D1" s="363" t="s">
        <v>58</v>
      </c>
      <c r="E1" s="355" t="s">
        <v>0</v>
      </c>
      <c r="F1" s="356"/>
      <c r="G1" s="363" t="s">
        <v>59</v>
      </c>
      <c r="H1" s="372" t="s">
        <v>5</v>
      </c>
      <c r="I1" s="375" t="s">
        <v>6</v>
      </c>
      <c r="J1" s="378" t="s">
        <v>60</v>
      </c>
      <c r="K1" s="381" t="s">
        <v>61</v>
      </c>
      <c r="L1" s="366" t="s">
        <v>7</v>
      </c>
      <c r="M1" s="366" t="s">
        <v>8</v>
      </c>
      <c r="N1" s="366" t="s">
        <v>9</v>
      </c>
      <c r="O1" s="366" t="s">
        <v>10</v>
      </c>
      <c r="P1" s="369" t="s">
        <v>11</v>
      </c>
      <c r="Q1" s="397" t="s">
        <v>12</v>
      </c>
      <c r="R1" s="400" t="s">
        <v>13</v>
      </c>
      <c r="S1" s="403" t="s">
        <v>64</v>
      </c>
      <c r="T1" s="384" t="s">
        <v>14</v>
      </c>
      <c r="U1" s="384" t="s">
        <v>15</v>
      </c>
      <c r="V1" s="384" t="s">
        <v>16</v>
      </c>
      <c r="W1" s="369" t="s">
        <v>17</v>
      </c>
      <c r="X1" s="394" t="s">
        <v>18</v>
      </c>
      <c r="Y1" s="384" t="s">
        <v>19</v>
      </c>
      <c r="Z1" s="384" t="s">
        <v>20</v>
      </c>
      <c r="AA1" s="384" t="s">
        <v>62</v>
      </c>
      <c r="AB1" s="384" t="s">
        <v>21</v>
      </c>
      <c r="AC1" s="387" t="s">
        <v>63</v>
      </c>
    </row>
    <row r="2" spans="1:29" ht="18" customHeight="1" x14ac:dyDescent="0.2">
      <c r="A2" s="358"/>
      <c r="B2" s="361"/>
      <c r="C2" s="361"/>
      <c r="D2" s="364"/>
      <c r="E2" s="390" t="s">
        <v>4</v>
      </c>
      <c r="F2" s="392" t="s">
        <v>65</v>
      </c>
      <c r="G2" s="364"/>
      <c r="H2" s="373"/>
      <c r="I2" s="376"/>
      <c r="J2" s="379"/>
      <c r="K2" s="382"/>
      <c r="L2" s="367"/>
      <c r="M2" s="367"/>
      <c r="N2" s="367"/>
      <c r="O2" s="367"/>
      <c r="P2" s="370"/>
      <c r="Q2" s="398"/>
      <c r="R2" s="401"/>
      <c r="S2" s="404"/>
      <c r="T2" s="385"/>
      <c r="U2" s="385"/>
      <c r="V2" s="385"/>
      <c r="W2" s="370"/>
      <c r="X2" s="395"/>
      <c r="Y2" s="385"/>
      <c r="Z2" s="385"/>
      <c r="AA2" s="385"/>
      <c r="AB2" s="385"/>
      <c r="AC2" s="388"/>
    </row>
    <row r="3" spans="1:29" ht="18" customHeight="1" thickBot="1" x14ac:dyDescent="0.25">
      <c r="A3" s="359"/>
      <c r="B3" s="362"/>
      <c r="C3" s="362"/>
      <c r="D3" s="365"/>
      <c r="E3" s="391"/>
      <c r="F3" s="393"/>
      <c r="G3" s="365"/>
      <c r="H3" s="374"/>
      <c r="I3" s="377"/>
      <c r="J3" s="380"/>
      <c r="K3" s="383"/>
      <c r="L3" s="368"/>
      <c r="M3" s="368"/>
      <c r="N3" s="368"/>
      <c r="O3" s="368"/>
      <c r="P3" s="371"/>
      <c r="Q3" s="399"/>
      <c r="R3" s="402"/>
      <c r="S3" s="405"/>
      <c r="T3" s="386"/>
      <c r="U3" s="386"/>
      <c r="V3" s="386"/>
      <c r="W3" s="371"/>
      <c r="X3" s="396"/>
      <c r="Y3" s="386"/>
      <c r="Z3" s="386"/>
      <c r="AA3" s="386"/>
      <c r="AB3" s="386"/>
      <c r="AC3" s="389"/>
    </row>
    <row r="4" spans="1:29" ht="21" customHeight="1" x14ac:dyDescent="0.3">
      <c r="A4" s="34"/>
      <c r="B4" s="35"/>
      <c r="C4" s="302" t="s">
        <v>48</v>
      </c>
      <c r="D4" s="99"/>
      <c r="E4" s="100"/>
      <c r="F4" s="101"/>
      <c r="G4" s="100"/>
      <c r="H4" s="102"/>
      <c r="I4" s="157"/>
      <c r="J4" s="54"/>
      <c r="K4" s="303"/>
      <c r="L4" s="304"/>
      <c r="M4" s="305"/>
      <c r="N4" s="306"/>
      <c r="O4" s="304"/>
      <c r="P4" s="307"/>
      <c r="Q4" s="308"/>
      <c r="R4" s="306"/>
      <c r="S4" s="304"/>
      <c r="T4" s="306"/>
      <c r="U4" s="186"/>
      <c r="V4" s="306"/>
      <c r="W4" s="309"/>
      <c r="X4" s="151"/>
      <c r="Y4" s="310"/>
      <c r="Z4" s="310"/>
      <c r="AA4" s="310"/>
      <c r="AB4" s="310"/>
      <c r="AC4" s="276"/>
    </row>
    <row r="5" spans="1:29" s="166" customFormat="1" ht="18" customHeight="1" x14ac:dyDescent="0.3">
      <c r="A5" s="12">
        <v>1</v>
      </c>
      <c r="B5" s="13">
        <v>601.20000000000005</v>
      </c>
      <c r="C5" s="14" t="s">
        <v>23</v>
      </c>
      <c r="D5" s="81">
        <f>SUM(E5:G5)</f>
        <v>103219</v>
      </c>
      <c r="E5" s="84">
        <f>ROUND('VHČ 2014 (v Kč)'!E5/1000,0)+1</f>
        <v>73383</v>
      </c>
      <c r="F5" s="82">
        <f>ROUND('VHČ 2014 (v Kč)'!F5/1000,0)</f>
        <v>10442</v>
      </c>
      <c r="G5" s="83">
        <f>SUM(H5:AC5)</f>
        <v>19394</v>
      </c>
      <c r="H5" s="84">
        <f>ROUND('VHČ 2014 (v Kč)'!H5/1000,0)</f>
        <v>2332</v>
      </c>
      <c r="I5" s="156">
        <f>ROUND('VHČ 2014 (v Kč)'!I5/1000,0)</f>
        <v>0</v>
      </c>
      <c r="J5" s="144">
        <f>ROUND('VHČ 2014 (v Kč)'!J5/1000,0)</f>
        <v>133</v>
      </c>
      <c r="K5" s="106">
        <f>ROUND('VHČ 2014 (v Kč)'!K5/1000,0)</f>
        <v>1</v>
      </c>
      <c r="L5" s="106">
        <f>ROUND('VHČ 2014 (v Kč)'!L5/1000,0)</f>
        <v>0</v>
      </c>
      <c r="M5" s="106">
        <f>ROUND('VHČ 2014 (v Kč)'!M5/1000,0)</f>
        <v>0</v>
      </c>
      <c r="N5" s="106">
        <f>ROUND('VHČ 2014 (v Kč)'!N5/1000,0)</f>
        <v>0</v>
      </c>
      <c r="O5" s="106">
        <f>ROUND('VHČ 2014 (v Kč)'!O5/1000,0)</f>
        <v>0</v>
      </c>
      <c r="P5" s="107">
        <f>ROUND('VHČ 2014 (v Kč)'!P5/1000,0)</f>
        <v>0</v>
      </c>
      <c r="Q5" s="153">
        <f>ROUND('VHČ 2014 (v Kč)'!Q5/1000,0)</f>
        <v>0</v>
      </c>
      <c r="R5" s="165">
        <f>ROUND('VHČ 2014 (v Kč)'!R5/1000,0)</f>
        <v>0</v>
      </c>
      <c r="S5" s="106">
        <f>ROUND('VHČ 2014 (v Kč)'!S5/1000,0)</f>
        <v>0</v>
      </c>
      <c r="T5" s="106">
        <f>ROUND('VHČ 2014 (v Kč)'!T5/1000,0)</f>
        <v>0</v>
      </c>
      <c r="U5" s="106">
        <f>ROUND('VHČ 2014 (v Kč)'!U5/1000,0)</f>
        <v>7176</v>
      </c>
      <c r="V5" s="106">
        <f>ROUND('VHČ 2014 (v Kč)'!V5/1000,0)</f>
        <v>0</v>
      </c>
      <c r="W5" s="91">
        <f>ROUND('VHČ 2014 (v Kč)'!W5/1000,0)</f>
        <v>-3</v>
      </c>
      <c r="X5" s="153">
        <f>ROUND('VHČ 2014 (v Kč)'!X5/1000,0)</f>
        <v>0</v>
      </c>
      <c r="Y5" s="106">
        <f>ROUND('VHČ 2014 (v Kč)'!Y5/1000,0)</f>
        <v>0</v>
      </c>
      <c r="Z5" s="106">
        <f>ROUND('VHČ 2014 (v Kč)'!Z5/1000,0)</f>
        <v>0</v>
      </c>
      <c r="AA5" s="106">
        <f>ROUND('VHČ 2014 (v Kč)'!AA5/1000,0)</f>
        <v>9755</v>
      </c>
      <c r="AB5" s="106">
        <f>ROUND('VHČ 2014 (v Kč)'!AB5/1000,0)</f>
        <v>0</v>
      </c>
      <c r="AC5" s="271">
        <f>ROUND('VHČ 2014 (v Kč)'!AC5/1000,0)</f>
        <v>0</v>
      </c>
    </row>
    <row r="6" spans="1:29" s="166" customFormat="1" ht="18" customHeight="1" x14ac:dyDescent="0.3">
      <c r="A6" s="12">
        <v>2</v>
      </c>
      <c r="B6" s="13">
        <v>603</v>
      </c>
      <c r="C6" s="14" t="s">
        <v>42</v>
      </c>
      <c r="D6" s="81">
        <f>SUM(E6:G6)</f>
        <v>1918660</v>
      </c>
      <c r="E6" s="84">
        <f>ROUND('VHČ 2014 (v Kč)'!E6/1000,0)</f>
        <v>511416</v>
      </c>
      <c r="F6" s="82"/>
      <c r="G6" s="83">
        <f>SUM(H6:AC6)</f>
        <v>1407244</v>
      </c>
      <c r="H6" s="84">
        <f>ROUND('VHČ 2014 (v Kč)'!H6/1000,0)</f>
        <v>323754</v>
      </c>
      <c r="I6" s="156">
        <f>ROUND('VHČ 2014 (v Kč)'!I6/1000,0)</f>
        <v>607</v>
      </c>
      <c r="J6" s="144">
        <f>ROUND('VHČ 2014 (v Kč)'!J6/1000,0)</f>
        <v>37897</v>
      </c>
      <c r="K6" s="106">
        <f>ROUND('VHČ 2014 (v Kč)'!K6/1000,0)</f>
        <v>38750</v>
      </c>
      <c r="L6" s="106">
        <f>ROUND('VHČ 2014 (v Kč)'!L6/1000,0)</f>
        <v>73368</v>
      </c>
      <c r="M6" s="106">
        <f>ROUND('VHČ 2014 (v Kč)'!M6/1000,0)</f>
        <v>585</v>
      </c>
      <c r="N6" s="106">
        <f>ROUND('VHČ 2014 (v Kč)'!N6/1000,0)</f>
        <v>78719</v>
      </c>
      <c r="O6" s="106">
        <f>ROUND('VHČ 2014 (v Kč)'!O6/1000,0)</f>
        <v>83008</v>
      </c>
      <c r="P6" s="107">
        <f>ROUND('VHČ 2014 (v Kč)'!P6/1000,0)+1</f>
        <v>3742</v>
      </c>
      <c r="Q6" s="153">
        <f>ROUND('VHČ 2014 (v Kč)'!Q6/1000,0)</f>
        <v>8725</v>
      </c>
      <c r="R6" s="165">
        <f>ROUND('VHČ 2014 (v Kč)'!R6/1000,0)</f>
        <v>260305</v>
      </c>
      <c r="S6" s="106">
        <f>ROUND('VHČ 2014 (v Kč)'!S6/1000,0)</f>
        <v>4998</v>
      </c>
      <c r="T6" s="106">
        <f>ROUND('VHČ 2014 (v Kč)'!T6/1000,0)</f>
        <v>109382</v>
      </c>
      <c r="U6" s="106">
        <f>ROUND('VHČ 2014 (v Kč)'!U6/1000,0)</f>
        <v>44448</v>
      </c>
      <c r="V6" s="106">
        <f>ROUND('VHČ 2014 (v Kč)'!V6/1000,0)</f>
        <v>44755</v>
      </c>
      <c r="W6" s="91">
        <f>ROUND('VHČ 2014 (v Kč)'!W6/1000,0)</f>
        <v>36087</v>
      </c>
      <c r="X6" s="153">
        <f>ROUND('VHČ 2014 (v Kč)'!X6/1000,0)</f>
        <v>110726</v>
      </c>
      <c r="Y6" s="106">
        <f>ROUND('VHČ 2014 (v Kč)'!Y6/1000,0)</f>
        <v>35129</v>
      </c>
      <c r="Z6" s="106">
        <f>ROUND('VHČ 2014 (v Kč)'!Z6/1000,0)-1</f>
        <v>404</v>
      </c>
      <c r="AA6" s="106">
        <f>ROUND('VHČ 2014 (v Kč)'!AA6/1000,0)</f>
        <v>88873</v>
      </c>
      <c r="AB6" s="106">
        <f>ROUND('VHČ 2014 (v Kč)'!AB6/1000,0)</f>
        <v>736</v>
      </c>
      <c r="AC6" s="271">
        <f>ROUND('VHČ 2014 (v Kč)'!AC6/1000,0)</f>
        <v>22246</v>
      </c>
    </row>
    <row r="7" spans="1:29" s="166" customFormat="1" ht="18" customHeight="1" x14ac:dyDescent="0.3">
      <c r="A7" s="12">
        <v>3</v>
      </c>
      <c r="B7" s="13" t="s">
        <v>24</v>
      </c>
      <c r="C7" s="14" t="s">
        <v>25</v>
      </c>
      <c r="D7" s="81">
        <f>SUM(E7:G7)</f>
        <v>21216</v>
      </c>
      <c r="E7" s="84">
        <f>ROUND('VHČ 2014 (v Kč)'!E7/1000,0)</f>
        <v>21216</v>
      </c>
      <c r="F7" s="64"/>
      <c r="G7" s="83"/>
      <c r="H7" s="84">
        <f>ROUND('VHČ 2014 (v Kč)'!H7/1000,0)</f>
        <v>0</v>
      </c>
      <c r="I7" s="156">
        <f>ROUND('VHČ 2014 (v Kč)'!I7/1000,0)</f>
        <v>0</v>
      </c>
      <c r="J7" s="144">
        <f>ROUND('VHČ 2014 (v Kč)'!J7/1000,0)</f>
        <v>0</v>
      </c>
      <c r="K7" s="106">
        <f>ROUND('VHČ 2014 (v Kč)'!K7/1000,0)</f>
        <v>0</v>
      </c>
      <c r="L7" s="106">
        <f>ROUND('VHČ 2014 (v Kč)'!L7/1000,0)</f>
        <v>0</v>
      </c>
      <c r="M7" s="106">
        <f>ROUND('VHČ 2014 (v Kč)'!M7/1000,0)</f>
        <v>0</v>
      </c>
      <c r="N7" s="106">
        <f>ROUND('VHČ 2014 (v Kč)'!N7/1000,0)</f>
        <v>0</v>
      </c>
      <c r="O7" s="106">
        <f>ROUND('VHČ 2014 (v Kč)'!O7/1000,0)</f>
        <v>0</v>
      </c>
      <c r="P7" s="107">
        <f>ROUND('VHČ 2014 (v Kč)'!P7/1000,0)</f>
        <v>0</v>
      </c>
      <c r="Q7" s="153">
        <f>ROUND('VHČ 2014 (v Kč)'!Q7/1000,0)</f>
        <v>0</v>
      </c>
      <c r="R7" s="165">
        <f>ROUND('VHČ 2014 (v Kč)'!R7/1000,0)</f>
        <v>0</v>
      </c>
      <c r="S7" s="106">
        <f>ROUND('VHČ 2014 (v Kč)'!S7/1000,0)</f>
        <v>0</v>
      </c>
      <c r="T7" s="106">
        <f>ROUND('VHČ 2014 (v Kč)'!T7/1000,0)</f>
        <v>0</v>
      </c>
      <c r="U7" s="106">
        <f>ROUND('VHČ 2014 (v Kč)'!U7/1000,0)</f>
        <v>0</v>
      </c>
      <c r="V7" s="106">
        <f>ROUND('VHČ 2014 (v Kč)'!V7/1000,0)</f>
        <v>0</v>
      </c>
      <c r="W7" s="91">
        <f>ROUND('VHČ 2014 (v Kč)'!W7/1000,0)</f>
        <v>0</v>
      </c>
      <c r="X7" s="153">
        <f>ROUND('VHČ 2014 (v Kč)'!X7/1000,0)</f>
        <v>0</v>
      </c>
      <c r="Y7" s="106">
        <f>ROUND('VHČ 2014 (v Kč)'!Y7/1000,0)</f>
        <v>0</v>
      </c>
      <c r="Z7" s="106">
        <f>ROUND('VHČ 2014 (v Kč)'!Z7/1000,0)</f>
        <v>0</v>
      </c>
      <c r="AA7" s="106">
        <f>ROUND('VHČ 2014 (v Kč)'!AA7/1000,0)</f>
        <v>0</v>
      </c>
      <c r="AB7" s="106">
        <f>ROUND('VHČ 2014 (v Kč)'!AB7/1000,0)</f>
        <v>0</v>
      </c>
      <c r="AC7" s="271">
        <f>ROUND('VHČ 2014 (v Kč)'!AC7/1000,0)</f>
        <v>0</v>
      </c>
    </row>
    <row r="8" spans="1:29" s="166" customFormat="1" ht="18" customHeight="1" x14ac:dyDescent="0.3">
      <c r="A8" s="12">
        <v>4</v>
      </c>
      <c r="B8" s="13">
        <v>672</v>
      </c>
      <c r="C8" s="14" t="s">
        <v>50</v>
      </c>
      <c r="D8" s="81">
        <f>SUM(E8:G8)</f>
        <v>40482</v>
      </c>
      <c r="E8" s="84">
        <f>ROUND('VHČ 2014 (v Kč)'!E8/1000,0)</f>
        <v>9995</v>
      </c>
      <c r="F8" s="89"/>
      <c r="G8" s="83">
        <f>SUM(H8:AC8)</f>
        <v>30487</v>
      </c>
      <c r="H8" s="84">
        <f>ROUND('VHČ 2014 (v Kč)'!H8/1000,0)</f>
        <v>23612</v>
      </c>
      <c r="I8" s="156">
        <f>ROUND('VHČ 2014 (v Kč)'!I8/1000,0)</f>
        <v>179</v>
      </c>
      <c r="J8" s="144">
        <f>ROUND('VHČ 2014 (v Kč)'!J8/1000,0)</f>
        <v>623</v>
      </c>
      <c r="K8" s="106">
        <f>ROUND('VHČ 2014 (v Kč)'!K8/1000,0)</f>
        <v>92</v>
      </c>
      <c r="L8" s="106">
        <f>ROUND('VHČ 2014 (v Kč)'!L8/1000,0)</f>
        <v>618</v>
      </c>
      <c r="M8" s="106">
        <f>ROUND('VHČ 2014 (v Kč)'!M8/1000,0)</f>
        <v>82</v>
      </c>
      <c r="N8" s="106">
        <f>ROUND('VHČ 2014 (v Kč)'!N8/1000,0)</f>
        <v>363</v>
      </c>
      <c r="O8" s="106">
        <f>ROUND('VHČ 2014 (v Kč)'!O8/1000,0)</f>
        <v>50</v>
      </c>
      <c r="P8" s="107">
        <f>ROUND('VHČ 2014 (v Kč)'!P8/1000,0)</f>
        <v>6</v>
      </c>
      <c r="Q8" s="153">
        <f>ROUND('VHČ 2014 (v Kč)'!Q8/1000,0)</f>
        <v>0</v>
      </c>
      <c r="R8" s="165">
        <f>ROUND('VHČ 2014 (v Kč)'!R8/1000,0)</f>
        <v>1644</v>
      </c>
      <c r="S8" s="106">
        <f>ROUND('VHČ 2014 (v Kč)'!S8/1000,0)</f>
        <v>0</v>
      </c>
      <c r="T8" s="106">
        <f>ROUND('VHČ 2014 (v Kč)'!T8/1000,0)</f>
        <v>635</v>
      </c>
      <c r="U8" s="106">
        <f>ROUND('VHČ 2014 (v Kč)'!U8/1000,0)-1</f>
        <v>389</v>
      </c>
      <c r="V8" s="106">
        <f>ROUND('VHČ 2014 (v Kč)'!V8/1000,0)</f>
        <v>212</v>
      </c>
      <c r="W8" s="91">
        <f>ROUND('VHČ 2014 (v Kč)'!W8/1000,0)</f>
        <v>269</v>
      </c>
      <c r="X8" s="153">
        <f>ROUND('VHČ 2014 (v Kč)'!X8/1000,0)</f>
        <v>833</v>
      </c>
      <c r="Y8" s="106">
        <f>ROUND('VHČ 2014 (v Kč)'!Y8/1000,0)</f>
        <v>342</v>
      </c>
      <c r="Z8" s="106">
        <f>ROUND('VHČ 2014 (v Kč)'!Z8/1000,0)</f>
        <v>67</v>
      </c>
      <c r="AA8" s="106">
        <f>ROUND('VHČ 2014 (v Kč)'!AA8/1000,0)</f>
        <v>471</v>
      </c>
      <c r="AB8" s="106">
        <f>ROUND('VHČ 2014 (v Kč)'!AB8/1000,0)</f>
        <v>0</v>
      </c>
      <c r="AC8" s="271">
        <f>ROUND('VHČ 2014 (v Kč)'!AC8/1000,0)</f>
        <v>0</v>
      </c>
    </row>
    <row r="9" spans="1:29" s="166" customFormat="1" ht="18" customHeight="1" thickBot="1" x14ac:dyDescent="0.35">
      <c r="A9" s="21">
        <v>5</v>
      </c>
      <c r="B9" s="22" t="s">
        <v>43</v>
      </c>
      <c r="C9" s="14" t="s">
        <v>26</v>
      </c>
      <c r="D9" s="81">
        <f>SUM(E9:G9)</f>
        <v>72655</v>
      </c>
      <c r="E9" s="90">
        <f>ROUND('VHČ 2014 (v Kč)'!E9/1000,0)</f>
        <v>600</v>
      </c>
      <c r="F9" s="89">
        <f>ROUND('VHČ 2014 (v Kč)'!F9/1000,0)</f>
        <v>36</v>
      </c>
      <c r="G9" s="83">
        <f>SUM(H9:AC9)</f>
        <v>72019</v>
      </c>
      <c r="H9" s="84">
        <f>ROUND('VHČ 2014 (v Kč)'!H9/1000,0)+1</f>
        <v>16885</v>
      </c>
      <c r="I9" s="156">
        <f>ROUND('VHČ 2014 (v Kč)'!I9/1000,0)</f>
        <v>33</v>
      </c>
      <c r="J9" s="144">
        <f>ROUND('VHČ 2014 (v Kč)'!J9/1000,0)</f>
        <v>9346</v>
      </c>
      <c r="K9" s="106">
        <f>ROUND('VHČ 2014 (v Kč)'!K9/1000,0)</f>
        <v>1186</v>
      </c>
      <c r="L9" s="106">
        <f>ROUND('VHČ 2014 (v Kč)'!L9/1000,0)</f>
        <v>3568</v>
      </c>
      <c r="M9" s="106">
        <f>ROUND('VHČ 2014 (v Kč)'!M9/1000,0)</f>
        <v>3</v>
      </c>
      <c r="N9" s="106">
        <f>ROUND('VHČ 2014 (v Kč)'!N9/1000,0)-1</f>
        <v>357</v>
      </c>
      <c r="O9" s="106">
        <f>ROUND('VHČ 2014 (v Kč)'!O9/1000,0)</f>
        <v>2168</v>
      </c>
      <c r="P9" s="107">
        <f>ROUND('VHČ 2014 (v Kč)'!P9/1000,0)</f>
        <v>148</v>
      </c>
      <c r="Q9" s="153">
        <f>ROUND('VHČ 2014 (v Kč)'!Q9/1000,0)</f>
        <v>11</v>
      </c>
      <c r="R9" s="165">
        <f>ROUND('VHČ 2014 (v Kč)'!R9/1000,0)</f>
        <v>25756</v>
      </c>
      <c r="S9" s="106">
        <f>ROUND('VHČ 2014 (v Kč)'!S9/1000,0)</f>
        <v>6</v>
      </c>
      <c r="T9" s="106">
        <f>ROUND('VHČ 2014 (v Kč)'!T9/1000,0)</f>
        <v>820</v>
      </c>
      <c r="U9" s="106">
        <f>ROUND('VHČ 2014 (v Kč)'!U9/1000,0)</f>
        <v>629</v>
      </c>
      <c r="V9" s="106">
        <f>ROUND('VHČ 2014 (v Kč)'!V9/1000,0)</f>
        <v>298</v>
      </c>
      <c r="W9" s="91">
        <f>ROUND('VHČ 2014 (v Kč)'!W9/1000,0)</f>
        <v>384</v>
      </c>
      <c r="X9" s="153">
        <f>ROUND('VHČ 2014 (v Kč)'!X9/1000,0)-1</f>
        <v>942</v>
      </c>
      <c r="Y9" s="106">
        <f>ROUND('VHČ 2014 (v Kč)'!Y9/1000,0)</f>
        <v>657</v>
      </c>
      <c r="Z9" s="106">
        <f>ROUND('VHČ 2014 (v Kč)'!Z9/1000,0)</f>
        <v>31</v>
      </c>
      <c r="AA9" s="106">
        <f>ROUND('VHČ 2014 (v Kč)'!AA9/1000,0)</f>
        <v>7523</v>
      </c>
      <c r="AB9" s="106">
        <f>ROUND('VHČ 2014 (v Kč)'!AB9/1000,0)</f>
        <v>262</v>
      </c>
      <c r="AC9" s="271">
        <f>ROUND('VHČ 2014 (v Kč)'!AC9/1000,0)</f>
        <v>1006</v>
      </c>
    </row>
    <row r="10" spans="1:29" s="166" customFormat="1" ht="21" customHeight="1" thickBot="1" x14ac:dyDescent="0.35">
      <c r="A10" s="23">
        <v>6</v>
      </c>
      <c r="B10" s="24"/>
      <c r="C10" s="25" t="s">
        <v>41</v>
      </c>
      <c r="D10" s="92">
        <f>SUM(D5:D9)</f>
        <v>2156232</v>
      </c>
      <c r="E10" s="93">
        <f>SUM(E5:E9)</f>
        <v>616610</v>
      </c>
      <c r="F10" s="272">
        <f>SUM(F5:F9)</f>
        <v>10478</v>
      </c>
      <c r="G10" s="94">
        <f>SUM(G5:G9)</f>
        <v>1529144</v>
      </c>
      <c r="H10" s="119">
        <f>SUM(H5:H9)</f>
        <v>366583</v>
      </c>
      <c r="I10" s="92">
        <f t="shared" ref="I10:AC10" si="0">SUM(I5:I9)</f>
        <v>819</v>
      </c>
      <c r="J10" s="146">
        <f t="shared" si="0"/>
        <v>47999</v>
      </c>
      <c r="K10" s="273">
        <f t="shared" si="0"/>
        <v>40029</v>
      </c>
      <c r="L10" s="273">
        <f t="shared" si="0"/>
        <v>77554</v>
      </c>
      <c r="M10" s="274">
        <f t="shared" si="0"/>
        <v>670</v>
      </c>
      <c r="N10" s="274">
        <f t="shared" si="0"/>
        <v>79439</v>
      </c>
      <c r="O10" s="274">
        <f t="shared" si="0"/>
        <v>85226</v>
      </c>
      <c r="P10" s="96">
        <f t="shared" si="0"/>
        <v>3896</v>
      </c>
      <c r="Q10" s="95">
        <f t="shared" si="0"/>
        <v>8736</v>
      </c>
      <c r="R10" s="138">
        <f t="shared" si="0"/>
        <v>287705</v>
      </c>
      <c r="S10" s="274">
        <f t="shared" si="0"/>
        <v>5004</v>
      </c>
      <c r="T10" s="274">
        <f t="shared" si="0"/>
        <v>110837</v>
      </c>
      <c r="U10" s="274">
        <f t="shared" si="0"/>
        <v>52642</v>
      </c>
      <c r="V10" s="274">
        <f t="shared" si="0"/>
        <v>45265</v>
      </c>
      <c r="W10" s="98">
        <f t="shared" si="0"/>
        <v>36737</v>
      </c>
      <c r="X10" s="95">
        <f t="shared" si="0"/>
        <v>112501</v>
      </c>
      <c r="Y10" s="274">
        <f t="shared" si="0"/>
        <v>36128</v>
      </c>
      <c r="Z10" s="274">
        <f t="shared" si="0"/>
        <v>502</v>
      </c>
      <c r="AA10" s="274">
        <f t="shared" si="0"/>
        <v>106622</v>
      </c>
      <c r="AB10" s="274">
        <f t="shared" si="0"/>
        <v>998</v>
      </c>
      <c r="AC10" s="275">
        <f t="shared" si="0"/>
        <v>23252</v>
      </c>
    </row>
    <row r="11" spans="1:29" s="166" customFormat="1" ht="18" customHeight="1" x14ac:dyDescent="0.3">
      <c r="A11" s="29"/>
      <c r="B11" s="30"/>
      <c r="C11" s="14"/>
      <c r="D11" s="99"/>
      <c r="E11" s="100"/>
      <c r="F11" s="101"/>
      <c r="G11" s="100"/>
      <c r="H11" s="102"/>
      <c r="I11" s="157"/>
      <c r="J11" s="145"/>
      <c r="K11" s="103"/>
      <c r="L11" s="103"/>
      <c r="M11" s="103"/>
      <c r="N11" s="103"/>
      <c r="O11" s="103"/>
      <c r="P11" s="104"/>
      <c r="Q11" s="151"/>
      <c r="R11" s="139"/>
      <c r="S11" s="103"/>
      <c r="T11" s="103"/>
      <c r="U11" s="103"/>
      <c r="V11" s="103"/>
      <c r="W11" s="105"/>
      <c r="X11" s="151"/>
      <c r="Y11" s="103"/>
      <c r="Z11" s="103"/>
      <c r="AA11" s="103"/>
      <c r="AB11" s="103"/>
      <c r="AC11" s="276"/>
    </row>
    <row r="12" spans="1:29" s="166" customFormat="1" ht="21.75" customHeight="1" x14ac:dyDescent="0.3">
      <c r="A12" s="34"/>
      <c r="B12" s="35"/>
      <c r="C12" s="6" t="s">
        <v>49</v>
      </c>
      <c r="D12" s="7"/>
      <c r="E12" s="8"/>
      <c r="F12" s="9"/>
      <c r="G12" s="8"/>
      <c r="H12" s="84"/>
      <c r="I12" s="156"/>
      <c r="J12" s="144"/>
      <c r="K12" s="85"/>
      <c r="L12" s="85"/>
      <c r="M12" s="85"/>
      <c r="N12" s="85"/>
      <c r="O12" s="85"/>
      <c r="P12" s="86"/>
      <c r="Q12" s="150"/>
      <c r="R12" s="137"/>
      <c r="S12" s="85"/>
      <c r="T12" s="85"/>
      <c r="U12" s="85"/>
      <c r="V12" s="85"/>
      <c r="W12" s="87"/>
      <c r="X12" s="150"/>
      <c r="Y12" s="85"/>
      <c r="Z12" s="85"/>
      <c r="AA12" s="85"/>
      <c r="AB12" s="85"/>
      <c r="AC12" s="270"/>
    </row>
    <row r="13" spans="1:29" s="166" customFormat="1" ht="18" customHeight="1" x14ac:dyDescent="0.3">
      <c r="A13" s="12">
        <v>7</v>
      </c>
      <c r="B13" s="13">
        <v>501.2</v>
      </c>
      <c r="C13" s="14" t="s">
        <v>28</v>
      </c>
      <c r="D13" s="81">
        <f t="shared" ref="D13:D19" si="1">SUM(E13:G13)</f>
        <v>37694</v>
      </c>
      <c r="E13" s="90">
        <f>ROUND('VHČ 2014 (v Kč)'!E13/1000,0)</f>
        <v>2026</v>
      </c>
      <c r="F13" s="64">
        <f>ROUND('VHČ 2014 (v Kč)'!F13/1000,0)</f>
        <v>6549</v>
      </c>
      <c r="G13" s="83">
        <f t="shared" ref="G13:G19" si="2">SUM(H13:AC13)</f>
        <v>29119</v>
      </c>
      <c r="H13" s="90">
        <f>ROUND('VHČ 2014 (v Kč)'!H13/1000,0)</f>
        <v>4379</v>
      </c>
      <c r="I13" s="156">
        <f>ROUND('VHČ 2014 (v Kč)'!I13/1000,0)</f>
        <v>21</v>
      </c>
      <c r="J13" s="144">
        <f>ROUND('VHČ 2014 (v Kč)'!J13/1000,0)</f>
        <v>368</v>
      </c>
      <c r="K13" s="85">
        <f>ROUND('VHČ 2014 (v Kč)'!K13/1000,0)</f>
        <v>23</v>
      </c>
      <c r="L13" s="85">
        <f>ROUND('VHČ 2014 (v Kč)'!L13/1000,0)</f>
        <v>525</v>
      </c>
      <c r="M13" s="85">
        <f>ROUND('VHČ 2014 (v Kč)'!M13/1000,0)</f>
        <v>1</v>
      </c>
      <c r="N13" s="85">
        <f>ROUND('VHČ 2014 (v Kč)'!N13/1000,0)</f>
        <v>201</v>
      </c>
      <c r="O13" s="85">
        <f>ROUND('VHČ 2014 (v Kč)'!O13/1000,0)</f>
        <v>357</v>
      </c>
      <c r="P13" s="86">
        <f>ROUND('VHČ 2014 (v Kč)'!P13/1000,0)</f>
        <v>34</v>
      </c>
      <c r="Q13" s="137">
        <f>ROUND('VHČ 2014 (v Kč)'!Q13/1000,0)</f>
        <v>17</v>
      </c>
      <c r="R13" s="137">
        <f>ROUND('VHČ 2014 (v Kč)'!R13/1000,0)</f>
        <v>9676</v>
      </c>
      <c r="S13" s="85">
        <f>ROUND('VHČ 2014 (v Kč)'!S13/1000,0)</f>
        <v>242</v>
      </c>
      <c r="T13" s="85">
        <f>ROUND('VHČ 2014 (v Kč)'!T13/1000,0)</f>
        <v>484</v>
      </c>
      <c r="U13" s="85">
        <f>ROUND('VHČ 2014 (v Kč)'!U13/1000,0)</f>
        <v>6707</v>
      </c>
      <c r="V13" s="85">
        <f>ROUND('VHČ 2014 (v Kč)'!V13/1000,0)</f>
        <v>40</v>
      </c>
      <c r="W13" s="87">
        <f>ROUND('VHČ 2014 (v Kč)'!W13/1000,0)</f>
        <v>22</v>
      </c>
      <c r="X13" s="150">
        <f>ROUND('VHČ 2014 (v Kč)'!X13/1000,0)</f>
        <v>17</v>
      </c>
      <c r="Y13" s="85">
        <f>ROUND('VHČ 2014 (v Kč)'!Y13/1000,0)</f>
        <v>162</v>
      </c>
      <c r="Z13" s="85">
        <f>ROUND('VHČ 2014 (v Kč)'!Z13/1000,0)</f>
        <v>36</v>
      </c>
      <c r="AA13" s="85">
        <f>ROUND('VHČ 2014 (v Kč)'!AA13/1000,0)</f>
        <v>5725</v>
      </c>
      <c r="AB13" s="85">
        <f>ROUND('VHČ 2014 (v Kč)'!AB13/1000,0)</f>
        <v>1</v>
      </c>
      <c r="AC13" s="270">
        <f>ROUND('VHČ 2014 (v Kč)'!AC13/1000,0)</f>
        <v>81</v>
      </c>
    </row>
    <row r="14" spans="1:29" s="166" customFormat="1" ht="18" customHeight="1" x14ac:dyDescent="0.3">
      <c r="A14" s="12">
        <v>8</v>
      </c>
      <c r="B14" s="13">
        <v>511</v>
      </c>
      <c r="C14" s="14" t="s">
        <v>29</v>
      </c>
      <c r="D14" s="81">
        <f t="shared" si="1"/>
        <v>605866</v>
      </c>
      <c r="E14" s="84">
        <f>ROUND('VHČ 2014 (v Kč)'!E14/1000,0)</f>
        <v>817</v>
      </c>
      <c r="F14" s="64"/>
      <c r="G14" s="83">
        <f t="shared" si="2"/>
        <v>605049</v>
      </c>
      <c r="H14" s="84">
        <f>ROUND('VHČ 2014 (v Kč)'!H14/1000,0)</f>
        <v>240415</v>
      </c>
      <c r="I14" s="156">
        <f>ROUND('VHČ 2014 (v Kč)'!I14/1000,0)</f>
        <v>159</v>
      </c>
      <c r="J14" s="144">
        <f>ROUND('VHČ 2014 (v Kč)'!J14/1000,0)</f>
        <v>6745</v>
      </c>
      <c r="K14" s="85">
        <f>ROUND('VHČ 2014 (v Kč)'!K14/1000,0)</f>
        <v>18311</v>
      </c>
      <c r="L14" s="85">
        <f>ROUND('VHČ 2014 (v Kč)'!L14/1000,0)</f>
        <v>34640</v>
      </c>
      <c r="M14" s="85">
        <f>ROUND('VHČ 2014 (v Kč)'!M14/1000,0)</f>
        <v>40</v>
      </c>
      <c r="N14" s="85">
        <f>ROUND('VHČ 2014 (v Kč)'!N14/1000,0)</f>
        <v>18284</v>
      </c>
      <c r="O14" s="85">
        <f>ROUND('VHČ 2014 (v Kč)'!O14/1000,0)</f>
        <v>31380</v>
      </c>
      <c r="P14" s="86">
        <f>ROUND('VHČ 2014 (v Kč)'!P14/1000,0)</f>
        <v>629</v>
      </c>
      <c r="Q14" s="137">
        <f>ROUND('VHČ 2014 (v Kč)'!Q14/1000,0)</f>
        <v>825</v>
      </c>
      <c r="R14" s="137">
        <f>ROUND('VHČ 2014 (v Kč)'!R14/1000,0)</f>
        <v>106544</v>
      </c>
      <c r="S14" s="85">
        <f>ROUND('VHČ 2014 (v Kč)'!S14/1000,0)</f>
        <v>2059</v>
      </c>
      <c r="T14" s="85">
        <f>ROUND('VHČ 2014 (v Kč)'!T14/1000,0)</f>
        <v>21666</v>
      </c>
      <c r="U14" s="85">
        <f>ROUND('VHČ 2014 (v Kč)'!U14/1000,0)</f>
        <v>22724</v>
      </c>
      <c r="V14" s="85">
        <f>ROUND('VHČ 2014 (v Kč)'!V14/1000,0)</f>
        <v>15266</v>
      </c>
      <c r="W14" s="87">
        <f>ROUND('VHČ 2014 (v Kč)'!W14/1000,0)</f>
        <v>9355</v>
      </c>
      <c r="X14" s="150">
        <f>ROUND('VHČ 2014 (v Kč)'!X14/1000,0)</f>
        <v>21296</v>
      </c>
      <c r="Y14" s="85">
        <f>ROUND('VHČ 2014 (v Kč)'!Y14/1000,0)</f>
        <v>13590</v>
      </c>
      <c r="Z14" s="85">
        <f>ROUND('VHČ 2014 (v Kč)'!Z14/1000,0)</f>
        <v>46</v>
      </c>
      <c r="AA14" s="85">
        <f>ROUND('VHČ 2014 (v Kč)'!AA14/1000,0)</f>
        <v>29943</v>
      </c>
      <c r="AB14" s="85">
        <f>ROUND('VHČ 2014 (v Kč)'!AB14/1000,0)</f>
        <v>186</v>
      </c>
      <c r="AC14" s="270">
        <f>ROUND('VHČ 2014 (v Kč)'!AC14/1000,0)</f>
        <v>10946</v>
      </c>
    </row>
    <row r="15" spans="1:29" s="166" customFormat="1" ht="18" customHeight="1" x14ac:dyDescent="0.3">
      <c r="A15" s="12">
        <v>9</v>
      </c>
      <c r="B15" s="13" t="s">
        <v>30</v>
      </c>
      <c r="C15" s="14" t="s">
        <v>31</v>
      </c>
      <c r="D15" s="81">
        <f t="shared" si="1"/>
        <v>172907</v>
      </c>
      <c r="E15" s="84">
        <f>ROUND('VHČ 2014 (v Kč)'!E15/1000,0)</f>
        <v>49789</v>
      </c>
      <c r="F15" s="64">
        <f>ROUND('VHČ 2014 (v Kč)'!F15/1000,0)</f>
        <v>162</v>
      </c>
      <c r="G15" s="83">
        <f t="shared" si="2"/>
        <v>122956</v>
      </c>
      <c r="H15" s="84">
        <f>ROUND('VHČ 2014 (v Kč)'!H15/1000,0)</f>
        <v>20739</v>
      </c>
      <c r="I15" s="156">
        <f>ROUND('VHČ 2014 (v Kč)'!I15/1000,0)</f>
        <v>38</v>
      </c>
      <c r="J15" s="144">
        <f>ROUND('VHČ 2014 (v Kč)'!J15/1000,0)</f>
        <v>1771</v>
      </c>
      <c r="K15" s="85">
        <f>ROUND('VHČ 2014 (v Kč)'!K15/1000,0)</f>
        <v>1930</v>
      </c>
      <c r="L15" s="85">
        <f>ROUND('VHČ 2014 (v Kč)'!L15/1000,0)</f>
        <v>7707</v>
      </c>
      <c r="M15" s="85">
        <f>ROUND('VHČ 2014 (v Kč)'!M15/1000,0)</f>
        <v>63</v>
      </c>
      <c r="N15" s="85">
        <f>ROUND('VHČ 2014 (v Kč)'!N15/1000,0)</f>
        <v>7082</v>
      </c>
      <c r="O15" s="85">
        <f>ROUND('VHČ 2014 (v Kč)'!O15/1000,0)</f>
        <v>6249</v>
      </c>
      <c r="P15" s="86">
        <f>ROUND('VHČ 2014 (v Kč)'!P15/1000,0)</f>
        <v>326</v>
      </c>
      <c r="Q15" s="137">
        <f>ROUND('VHČ 2014 (v Kč)'!Q15/1000,0)</f>
        <v>219</v>
      </c>
      <c r="R15" s="137">
        <f>ROUND('VHČ 2014 (v Kč)'!R15/1000,0)</f>
        <v>36981</v>
      </c>
      <c r="S15" s="85">
        <f>ROUND('VHČ 2014 (v Kč)'!S15/1000,0)</f>
        <v>710</v>
      </c>
      <c r="T15" s="85">
        <f>ROUND('VHČ 2014 (v Kč)'!T15/1000,0)</f>
        <v>10581</v>
      </c>
      <c r="U15" s="85">
        <f>ROUND('VHČ 2014 (v Kč)'!U15/1000,0)</f>
        <v>3410</v>
      </c>
      <c r="V15" s="85">
        <f>ROUND('VHČ 2014 (v Kč)'!V15/1000,0)</f>
        <v>2157</v>
      </c>
      <c r="W15" s="87">
        <f>ROUND('VHČ 2014 (v Kč)'!W15/1000,0)</f>
        <v>3316</v>
      </c>
      <c r="X15" s="150">
        <f>ROUND('VHČ 2014 (v Kč)'!X15/1000,0)-1</f>
        <v>8642</v>
      </c>
      <c r="Y15" s="85">
        <f>ROUND('VHČ 2014 (v Kč)'!Y15/1000,0)-1</f>
        <v>2069</v>
      </c>
      <c r="Z15" s="85">
        <f>ROUND('VHČ 2014 (v Kč)'!Z15/1000,0)</f>
        <v>44</v>
      </c>
      <c r="AA15" s="85">
        <f>ROUND('VHČ 2014 (v Kč)'!AA15/1000,0)</f>
        <v>7993</v>
      </c>
      <c r="AB15" s="85">
        <f>ROUND('VHČ 2014 (v Kč)'!AB15/1000,0)</f>
        <v>258</v>
      </c>
      <c r="AC15" s="270">
        <f>ROUND('VHČ 2014 (v Kč)'!AC15/1000,0)</f>
        <v>671</v>
      </c>
    </row>
    <row r="16" spans="1:29" s="166" customFormat="1" ht="18" customHeight="1" x14ac:dyDescent="0.3">
      <c r="A16" s="12">
        <v>10</v>
      </c>
      <c r="B16" s="13" t="s">
        <v>32</v>
      </c>
      <c r="C16" s="14" t="s">
        <v>33</v>
      </c>
      <c r="D16" s="81">
        <f t="shared" si="1"/>
        <v>46591</v>
      </c>
      <c r="E16" s="84">
        <f>ROUND('VHČ 2014 (v Kč)'!E16/1000,0)</f>
        <v>0</v>
      </c>
      <c r="F16" s="64">
        <f>ROUND('VHČ 2014 (v Kč)'!F16/1000,0)</f>
        <v>3560</v>
      </c>
      <c r="G16" s="83">
        <f t="shared" si="2"/>
        <v>43031</v>
      </c>
      <c r="H16" s="84">
        <f>ROUND('VHČ 2014 (v Kč)'!H16/1000,0)</f>
        <v>8980</v>
      </c>
      <c r="I16" s="156">
        <f>ROUND('VHČ 2014 (v Kč)'!I16/1000,0)</f>
        <v>0</v>
      </c>
      <c r="J16" s="144">
        <f>ROUND('VHČ 2014 (v Kč)'!J16/1000,0)</f>
        <v>5578</v>
      </c>
      <c r="K16" s="85">
        <f>ROUND('VHČ 2014 (v Kč)'!K16/1000,0)</f>
        <v>2897</v>
      </c>
      <c r="L16" s="85">
        <f>ROUND('VHČ 2014 (v Kč)'!L16/1000,0)</f>
        <v>3633</v>
      </c>
      <c r="M16" s="85">
        <f>ROUND('VHČ 2014 (v Kč)'!M16/1000,0)</f>
        <v>10</v>
      </c>
      <c r="N16" s="85">
        <f>ROUND('VHČ 2014 (v Kč)'!N16/1000,0)</f>
        <v>0</v>
      </c>
      <c r="O16" s="85">
        <f>ROUND('VHČ 2014 (v Kč)'!O16/1000,0)</f>
        <v>0</v>
      </c>
      <c r="P16" s="86">
        <f>ROUND('VHČ 2014 (v Kč)'!P16/1000,0)</f>
        <v>0</v>
      </c>
      <c r="Q16" s="137">
        <f>ROUND('VHČ 2014 (v Kč)'!Q16/1000,0)</f>
        <v>623</v>
      </c>
      <c r="R16" s="137">
        <f>ROUND('VHČ 2014 (v Kč)'!R16/1000,0)</f>
        <v>2365</v>
      </c>
      <c r="S16" s="85">
        <f>ROUND('VHČ 2014 (v Kč)'!S16/1000,0)</f>
        <v>133</v>
      </c>
      <c r="T16" s="85">
        <f>ROUND('VHČ 2014 (v Kč)'!T16/1000,0)</f>
        <v>0</v>
      </c>
      <c r="U16" s="85">
        <f>ROUND('VHČ 2014 (v Kč)'!U16/1000,0)</f>
        <v>4820</v>
      </c>
      <c r="V16" s="85">
        <f>ROUND('VHČ 2014 (v Kč)'!V16/1000,0)</f>
        <v>2007</v>
      </c>
      <c r="W16" s="87">
        <f>ROUND('VHČ 2014 (v Kč)'!W16/1000,0)</f>
        <v>0</v>
      </c>
      <c r="X16" s="150">
        <f>ROUND('VHČ 2014 (v Kč)'!X16/1000,0)</f>
        <v>0</v>
      </c>
      <c r="Y16" s="85">
        <f>ROUND('VHČ 2014 (v Kč)'!Y16/1000,0)</f>
        <v>2718</v>
      </c>
      <c r="Z16" s="85">
        <f>ROUND('VHČ 2014 (v Kč)'!Z16/1000,0)</f>
        <v>36</v>
      </c>
      <c r="AA16" s="85">
        <f>ROUND('VHČ 2014 (v Kč)'!AA16/1000,0)</f>
        <v>7264</v>
      </c>
      <c r="AB16" s="85">
        <f>ROUND('VHČ 2014 (v Kč)'!AB16/1000,0)</f>
        <v>0</v>
      </c>
      <c r="AC16" s="270">
        <f>ROUND('VHČ 2014 (v Kč)'!AC16/1000,0)</f>
        <v>1967</v>
      </c>
    </row>
    <row r="17" spans="1:219" s="166" customFormat="1" ht="18" customHeight="1" x14ac:dyDescent="0.3">
      <c r="A17" s="12">
        <v>11</v>
      </c>
      <c r="B17" s="13" t="s">
        <v>34</v>
      </c>
      <c r="C17" s="14" t="s">
        <v>35</v>
      </c>
      <c r="D17" s="81">
        <f t="shared" si="1"/>
        <v>2360</v>
      </c>
      <c r="E17" s="84">
        <f>ROUND('VHČ 2014 (v Kč)'!E17/1000,0)</f>
        <v>0</v>
      </c>
      <c r="F17" s="64"/>
      <c r="G17" s="83">
        <f t="shared" si="2"/>
        <v>2360</v>
      </c>
      <c r="H17" s="84">
        <f>ROUND('VHČ 2014 (v Kč)'!H17/1000,0)</f>
        <v>1855</v>
      </c>
      <c r="I17" s="156">
        <f>ROUND('VHČ 2014 (v Kč)'!I17/1000,0)</f>
        <v>0</v>
      </c>
      <c r="J17" s="144">
        <f>ROUND('VHČ 2014 (v Kč)'!J17/1000,0)</f>
        <v>290</v>
      </c>
      <c r="K17" s="85">
        <f>ROUND('VHČ 2014 (v Kč)'!K17/1000,0)</f>
        <v>75</v>
      </c>
      <c r="L17" s="85">
        <f>ROUND('VHČ 2014 (v Kč)'!L17/1000,0)</f>
        <v>56</v>
      </c>
      <c r="M17" s="85">
        <f>ROUND('VHČ 2014 (v Kč)'!M17/1000,0)</f>
        <v>0</v>
      </c>
      <c r="N17" s="85">
        <f>ROUND('VHČ 2014 (v Kč)'!N17/1000,0)</f>
        <v>2</v>
      </c>
      <c r="O17" s="85">
        <f>ROUND('VHČ 2014 (v Kč)'!O17/1000,0)</f>
        <v>0</v>
      </c>
      <c r="P17" s="86">
        <f>ROUND('VHČ 2014 (v Kč)'!P17/1000,0)</f>
        <v>0</v>
      </c>
      <c r="Q17" s="137">
        <f>ROUND('VHČ 2014 (v Kč)'!Q17/1000,0)</f>
        <v>0</v>
      </c>
      <c r="R17" s="137">
        <f>ROUND('VHČ 2014 (v Kč)'!R17/1000,0)</f>
        <v>0</v>
      </c>
      <c r="S17" s="85">
        <f>ROUND('VHČ 2014 (v Kč)'!S17/1000,0)</f>
        <v>0</v>
      </c>
      <c r="T17" s="85">
        <f>ROUND('VHČ 2014 (v Kč)'!T17/1000,0)</f>
        <v>0</v>
      </c>
      <c r="U17" s="85">
        <f>ROUND('VHČ 2014 (v Kč)'!U17/1000,0)</f>
        <v>63</v>
      </c>
      <c r="V17" s="85">
        <f>ROUND('VHČ 2014 (v Kč)'!V17/1000,0)</f>
        <v>5</v>
      </c>
      <c r="W17" s="87">
        <f>ROUND('VHČ 2014 (v Kč)'!W17/1000,0)</f>
        <v>7</v>
      </c>
      <c r="X17" s="150">
        <f>ROUND('VHČ 2014 (v Kč)'!X17/1000,0)</f>
        <v>0</v>
      </c>
      <c r="Y17" s="85">
        <f>ROUND('VHČ 2014 (v Kč)'!Y17/1000,0)</f>
        <v>0</v>
      </c>
      <c r="Z17" s="85">
        <f>ROUND('VHČ 2014 (v Kč)'!Z17/1000,0)</f>
        <v>0</v>
      </c>
      <c r="AA17" s="85">
        <f>ROUND('VHČ 2014 (v Kč)'!AA17/1000,0)</f>
        <v>0</v>
      </c>
      <c r="AB17" s="85">
        <f>ROUND('VHČ 2014 (v Kč)'!AB17/1000,0)</f>
        <v>0</v>
      </c>
      <c r="AC17" s="270">
        <f>ROUND('VHČ 2014 (v Kč)'!AC17/1000,0)</f>
        <v>7</v>
      </c>
    </row>
    <row r="18" spans="1:219" s="166" customFormat="1" ht="18" customHeight="1" x14ac:dyDescent="0.3">
      <c r="A18" s="12">
        <v>12</v>
      </c>
      <c r="B18" s="13">
        <v>551</v>
      </c>
      <c r="C18" s="167" t="s">
        <v>66</v>
      </c>
      <c r="D18" s="81">
        <f t="shared" si="1"/>
        <v>485916</v>
      </c>
      <c r="E18" s="84">
        <f>ROUND('VHČ 2014 (v Kč)'!E18/1000,0)</f>
        <v>342460</v>
      </c>
      <c r="F18" s="64">
        <f>ROUND('VHČ 2014 (v Kč)'!F18/1000,0)</f>
        <v>0</v>
      </c>
      <c r="G18" s="83">
        <f t="shared" si="2"/>
        <v>143456</v>
      </c>
      <c r="H18" s="84">
        <f>ROUND('VHČ 2014 (v Kč)'!H18/1000,0)</f>
        <v>25370</v>
      </c>
      <c r="I18" s="156">
        <f>ROUND('VHČ 2014 (v Kč)'!I18/1000,0)</f>
        <v>574</v>
      </c>
      <c r="J18" s="144">
        <f>ROUND('VHČ 2014 (v Kč)'!J18/1000,0)</f>
        <v>4350</v>
      </c>
      <c r="K18" s="85">
        <f>ROUND('VHČ 2014 (v Kč)'!K18/1000,0)</f>
        <v>6297</v>
      </c>
      <c r="L18" s="85">
        <f>ROUND('VHČ 2014 (v Kč)'!L18/1000,0)</f>
        <v>8765</v>
      </c>
      <c r="M18" s="85">
        <f>ROUND('VHČ 2014 (v Kč)'!M18/1000,0)</f>
        <v>214</v>
      </c>
      <c r="N18" s="85">
        <f>ROUND('VHČ 2014 (v Kč)'!N18/1000,0)+1</f>
        <v>8635</v>
      </c>
      <c r="O18" s="85">
        <f>ROUND('VHČ 2014 (v Kč)'!O18/1000,0)</f>
        <v>11251</v>
      </c>
      <c r="P18" s="86">
        <f>ROUND('VHČ 2014 (v Kč)'!P18/1000,0)</f>
        <v>806</v>
      </c>
      <c r="Q18" s="137">
        <f>ROUND('VHČ 2014 (v Kč)'!Q18/1000,0)</f>
        <v>958</v>
      </c>
      <c r="R18" s="137">
        <f>ROUND('VHČ 2014 (v Kč)'!R18/1000,0)</f>
        <v>23666</v>
      </c>
      <c r="S18" s="85">
        <f>ROUND('VHČ 2014 (v Kč)'!S18/1000,0)</f>
        <v>336</v>
      </c>
      <c r="T18" s="85">
        <f>ROUND('VHČ 2014 (v Kč)'!T18/1000,0)</f>
        <v>10559</v>
      </c>
      <c r="U18" s="85">
        <f>ROUND('VHČ 2014 (v Kč)'!U18/1000,0)</f>
        <v>4782</v>
      </c>
      <c r="V18" s="85">
        <f>ROUND('VHČ 2014 (v Kč)'!V18/1000,0)</f>
        <v>6248</v>
      </c>
      <c r="W18" s="87">
        <f>ROUND('VHČ 2014 (v Kč)'!W18/1000,0)</f>
        <v>4703</v>
      </c>
      <c r="X18" s="150">
        <f>ROUND('VHČ 2014 (v Kč)'!X18/1000,0)</f>
        <v>11396</v>
      </c>
      <c r="Y18" s="85">
        <f>ROUND('VHČ 2014 (v Kč)'!Y18/1000,0)</f>
        <v>5448</v>
      </c>
      <c r="Z18" s="85">
        <f>ROUND('VHČ 2014 (v Kč)'!Z18/1000,0)</f>
        <v>134</v>
      </c>
      <c r="AA18" s="85">
        <f>ROUND('VHČ 2014 (v Kč)'!AA18/1000,0)</f>
        <v>5644</v>
      </c>
      <c r="AB18" s="85">
        <f>ROUND('VHČ 2014 (v Kč)'!AB18/1000,0)</f>
        <v>244</v>
      </c>
      <c r="AC18" s="270">
        <f>ROUND('VHČ 2014 (v Kč)'!AC18/1000,0)</f>
        <v>3076</v>
      </c>
    </row>
    <row r="19" spans="1:219" s="166" customFormat="1" ht="18" customHeight="1" thickBot="1" x14ac:dyDescent="0.35">
      <c r="A19" s="12">
        <v>13</v>
      </c>
      <c r="B19" s="13" t="s">
        <v>44</v>
      </c>
      <c r="C19" s="14" t="s">
        <v>36</v>
      </c>
      <c r="D19" s="81">
        <f t="shared" si="1"/>
        <v>136146</v>
      </c>
      <c r="E19" s="84">
        <f>ROUND('VHČ 2014 (v Kč)'!E19/1000,0)</f>
        <v>1810</v>
      </c>
      <c r="F19" s="64">
        <f>ROUND('VHČ 2014 (v Kč)'!F19/1000,0)</f>
        <v>-446</v>
      </c>
      <c r="G19" s="88">
        <f t="shared" si="2"/>
        <v>134782</v>
      </c>
      <c r="H19" s="90">
        <f>ROUND('VHČ 2014 (v Kč)'!H19/1000,0)</f>
        <v>73689</v>
      </c>
      <c r="I19" s="156">
        <f>ROUND('VHČ 2014 (v Kč)'!I19/1000,0)</f>
        <v>1044</v>
      </c>
      <c r="J19" s="144">
        <f>ROUND('VHČ 2014 (v Kč)'!J19/1000,0)</f>
        <v>10042</v>
      </c>
      <c r="K19" s="85">
        <f>ROUND('VHČ 2014 (v Kč)'!K19/1000,0)</f>
        <v>2335</v>
      </c>
      <c r="L19" s="85">
        <f>ROUND('VHČ 2014 (v Kč)'!L19/1000,0)</f>
        <v>4061</v>
      </c>
      <c r="M19" s="85">
        <f>ROUND('VHČ 2014 (v Kč)'!M19/1000,0)</f>
        <v>0</v>
      </c>
      <c r="N19" s="85">
        <f>ROUND('VHČ 2014 (v Kč)'!N19/1000,0)</f>
        <v>441</v>
      </c>
      <c r="O19" s="85">
        <f>ROUND('VHČ 2014 (v Kč)'!O19/1000,0)</f>
        <v>683</v>
      </c>
      <c r="P19" s="86">
        <f>ROUND('VHČ 2014 (v Kč)'!P19/1000,0)</f>
        <v>0</v>
      </c>
      <c r="Q19" s="137">
        <f>ROUND('VHČ 2014 (v Kč)'!Q19/1000,0)</f>
        <v>21</v>
      </c>
      <c r="R19" s="137">
        <f>ROUND('VHČ 2014 (v Kč)'!R19/1000,0)</f>
        <v>21635</v>
      </c>
      <c r="S19" s="85">
        <f>ROUND('VHČ 2014 (v Kč)'!S19/1000,0)</f>
        <v>160</v>
      </c>
      <c r="T19" s="85">
        <f>ROUND('VHČ 2014 (v Kč)'!T19/1000,0)</f>
        <v>435</v>
      </c>
      <c r="U19" s="85">
        <f>ROUND('VHČ 2014 (v Kč)'!U19/1000,0)</f>
        <v>1168</v>
      </c>
      <c r="V19" s="85">
        <f>ROUND('VHČ 2014 (v Kč)'!V19/1000,0)</f>
        <v>723</v>
      </c>
      <c r="W19" s="87">
        <f>ROUND('VHČ 2014 (v Kč)'!W19/1000,0)</f>
        <v>4298</v>
      </c>
      <c r="X19" s="150">
        <f>ROUND('VHČ 2014 (v Kč)'!X19/1000,0)</f>
        <v>7325</v>
      </c>
      <c r="Y19" s="85">
        <f>ROUND('VHČ 2014 (v Kč)'!Y19/1000,0)</f>
        <v>901</v>
      </c>
      <c r="Z19" s="85">
        <f>ROUND('VHČ 2014 (v Kč)'!Z19/1000,0)</f>
        <v>11</v>
      </c>
      <c r="AA19" s="85">
        <f>ROUND('VHČ 2014 (v Kč)'!AA19/1000,0)</f>
        <v>2515</v>
      </c>
      <c r="AB19" s="85">
        <f>ROUND('VHČ 2014 (v Kč)'!AB19/1000,0)-1</f>
        <v>-5</v>
      </c>
      <c r="AC19" s="270">
        <f>ROUND('VHČ 2014 (v Kč)'!AC19/1000,0)</f>
        <v>3300</v>
      </c>
    </row>
    <row r="20" spans="1:219" s="166" customFormat="1" ht="23.25" customHeight="1" thickBot="1" x14ac:dyDescent="0.35">
      <c r="A20" s="23">
        <v>14</v>
      </c>
      <c r="B20" s="24"/>
      <c r="C20" s="25" t="s">
        <v>54</v>
      </c>
      <c r="D20" s="108">
        <f>SUM(D13:D19)</f>
        <v>1487480</v>
      </c>
      <c r="E20" s="109">
        <f>SUM(E13:E19)</f>
        <v>396902</v>
      </c>
      <c r="F20" s="110">
        <f>SUM(F13:F19)</f>
        <v>9825</v>
      </c>
      <c r="G20" s="97">
        <f>SUM(G13:G19)</f>
        <v>1080753</v>
      </c>
      <c r="H20" s="119">
        <f>SUM(H13:H19)</f>
        <v>375427</v>
      </c>
      <c r="I20" s="92">
        <f t="shared" ref="I20:AC20" si="3">SUM(I13:I19)</f>
        <v>1836</v>
      </c>
      <c r="J20" s="146">
        <f t="shared" si="3"/>
        <v>29144</v>
      </c>
      <c r="K20" s="273">
        <f t="shared" si="3"/>
        <v>31868</v>
      </c>
      <c r="L20" s="273">
        <f t="shared" si="3"/>
        <v>59387</v>
      </c>
      <c r="M20" s="274">
        <f t="shared" si="3"/>
        <v>328</v>
      </c>
      <c r="N20" s="274">
        <f t="shared" si="3"/>
        <v>34645</v>
      </c>
      <c r="O20" s="274">
        <f t="shared" si="3"/>
        <v>49920</v>
      </c>
      <c r="P20" s="96">
        <f t="shared" si="3"/>
        <v>1795</v>
      </c>
      <c r="Q20" s="95">
        <f t="shared" si="3"/>
        <v>2663</v>
      </c>
      <c r="R20" s="138">
        <f t="shared" si="3"/>
        <v>200867</v>
      </c>
      <c r="S20" s="274">
        <f t="shared" si="3"/>
        <v>3640</v>
      </c>
      <c r="T20" s="274">
        <f t="shared" si="3"/>
        <v>43725</v>
      </c>
      <c r="U20" s="274">
        <f t="shared" si="3"/>
        <v>43674</v>
      </c>
      <c r="V20" s="274">
        <f t="shared" si="3"/>
        <v>26446</v>
      </c>
      <c r="W20" s="98">
        <f t="shared" si="3"/>
        <v>21701</v>
      </c>
      <c r="X20" s="95">
        <f t="shared" si="3"/>
        <v>48676</v>
      </c>
      <c r="Y20" s="274">
        <f t="shared" si="3"/>
        <v>24888</v>
      </c>
      <c r="Z20" s="274">
        <f t="shared" si="3"/>
        <v>307</v>
      </c>
      <c r="AA20" s="274">
        <f t="shared" si="3"/>
        <v>59084</v>
      </c>
      <c r="AB20" s="274">
        <f t="shared" si="3"/>
        <v>684</v>
      </c>
      <c r="AC20" s="275">
        <f t="shared" si="3"/>
        <v>20048</v>
      </c>
    </row>
    <row r="21" spans="1:219" s="166" customFormat="1" ht="18" customHeight="1" thickBot="1" x14ac:dyDescent="0.35">
      <c r="A21" s="2"/>
      <c r="B21" s="3"/>
      <c r="C21" s="42"/>
      <c r="D21" s="111"/>
      <c r="E21" s="112"/>
      <c r="F21" s="113"/>
      <c r="G21" s="112"/>
      <c r="H21" s="114"/>
      <c r="I21" s="117"/>
      <c r="J21" s="53"/>
      <c r="K21" s="115"/>
      <c r="L21" s="115"/>
      <c r="M21" s="115"/>
      <c r="N21" s="115"/>
      <c r="O21" s="115"/>
      <c r="P21" s="116"/>
      <c r="Q21" s="114"/>
      <c r="R21" s="140"/>
      <c r="S21" s="115"/>
      <c r="T21" s="115"/>
      <c r="U21" s="115"/>
      <c r="V21" s="115"/>
      <c r="W21" s="117"/>
      <c r="X21" s="114"/>
      <c r="Y21" s="115"/>
      <c r="Z21" s="115"/>
      <c r="AA21" s="115"/>
      <c r="AB21" s="115"/>
      <c r="AC21" s="277"/>
    </row>
    <row r="22" spans="1:219" s="168" customFormat="1" ht="24" customHeight="1" thickBot="1" x14ac:dyDescent="0.35">
      <c r="A22" s="23">
        <v>15</v>
      </c>
      <c r="B22" s="24"/>
      <c r="C22" s="25" t="s">
        <v>57</v>
      </c>
      <c r="D22" s="108">
        <f>SUM(D10-D20)</f>
        <v>668752</v>
      </c>
      <c r="E22" s="109">
        <f>0+E10-E20</f>
        <v>219708</v>
      </c>
      <c r="F22" s="118">
        <f>0+F10-F20</f>
        <v>653</v>
      </c>
      <c r="G22" s="109">
        <f t="shared" ref="G22:AC22" si="4">SUM(G10-G20)</f>
        <v>448391</v>
      </c>
      <c r="H22" s="119">
        <f t="shared" si="4"/>
        <v>-8844</v>
      </c>
      <c r="I22" s="92">
        <f t="shared" si="4"/>
        <v>-1017</v>
      </c>
      <c r="J22" s="146">
        <f t="shared" si="4"/>
        <v>18855</v>
      </c>
      <c r="K22" s="273">
        <f t="shared" si="4"/>
        <v>8161</v>
      </c>
      <c r="L22" s="273">
        <f t="shared" si="4"/>
        <v>18167</v>
      </c>
      <c r="M22" s="273">
        <f t="shared" si="4"/>
        <v>342</v>
      </c>
      <c r="N22" s="273">
        <f t="shared" si="4"/>
        <v>44794</v>
      </c>
      <c r="O22" s="273">
        <f t="shared" si="4"/>
        <v>35306</v>
      </c>
      <c r="P22" s="120">
        <f t="shared" si="4"/>
        <v>2101</v>
      </c>
      <c r="Q22" s="119">
        <f t="shared" si="4"/>
        <v>6073</v>
      </c>
      <c r="R22" s="141">
        <f t="shared" si="4"/>
        <v>86838</v>
      </c>
      <c r="S22" s="273">
        <f t="shared" si="4"/>
        <v>1364</v>
      </c>
      <c r="T22" s="273">
        <f t="shared" si="4"/>
        <v>67112</v>
      </c>
      <c r="U22" s="273">
        <f t="shared" si="4"/>
        <v>8968</v>
      </c>
      <c r="V22" s="273">
        <f t="shared" si="4"/>
        <v>18819</v>
      </c>
      <c r="W22" s="92">
        <f t="shared" si="4"/>
        <v>15036</v>
      </c>
      <c r="X22" s="154">
        <f t="shared" si="4"/>
        <v>63825</v>
      </c>
      <c r="Y22" s="273">
        <f t="shared" si="4"/>
        <v>11240</v>
      </c>
      <c r="Z22" s="273">
        <f t="shared" si="4"/>
        <v>195</v>
      </c>
      <c r="AA22" s="273">
        <f t="shared" si="4"/>
        <v>47538</v>
      </c>
      <c r="AB22" s="273">
        <f t="shared" si="4"/>
        <v>314</v>
      </c>
      <c r="AC22" s="278">
        <f t="shared" si="4"/>
        <v>3204</v>
      </c>
    </row>
    <row r="23" spans="1:219" s="166" customFormat="1" ht="18" customHeight="1" x14ac:dyDescent="0.3">
      <c r="A23" s="2"/>
      <c r="B23" s="3"/>
      <c r="C23" s="42"/>
      <c r="D23" s="111"/>
      <c r="E23" s="112"/>
      <c r="F23" s="113"/>
      <c r="G23" s="112"/>
      <c r="H23" s="121"/>
      <c r="I23" s="159"/>
      <c r="J23" s="147"/>
      <c r="K23" s="122"/>
      <c r="L23" s="122"/>
      <c r="M23" s="122"/>
      <c r="N23" s="122"/>
      <c r="O23" s="122"/>
      <c r="P23" s="123"/>
      <c r="Q23" s="114"/>
      <c r="R23" s="142"/>
      <c r="S23" s="122"/>
      <c r="T23" s="122"/>
      <c r="U23" s="122"/>
      <c r="V23" s="122"/>
      <c r="W23" s="117"/>
      <c r="X23" s="114"/>
      <c r="Y23" s="122"/>
      <c r="Z23" s="122"/>
      <c r="AA23" s="122"/>
      <c r="AB23" s="122"/>
      <c r="AC23" s="279"/>
    </row>
    <row r="24" spans="1:219" s="166" customFormat="1" ht="18" customHeight="1" x14ac:dyDescent="0.3">
      <c r="A24" s="12">
        <v>16</v>
      </c>
      <c r="B24" s="13">
        <v>591</v>
      </c>
      <c r="C24" s="14" t="s">
        <v>37</v>
      </c>
      <c r="D24" s="81">
        <f>SUM(E24:G24)</f>
        <v>108736</v>
      </c>
      <c r="E24" s="84">
        <f>ROUND('VHČ 2014 (v Kč)'!E24/1000,0)</f>
        <v>0</v>
      </c>
      <c r="F24" s="64">
        <f>ROUND('VHČ 2014 (v Kč)'!F24/1000,0)</f>
        <v>77</v>
      </c>
      <c r="G24" s="83">
        <f>SUM(H24:AC24)</f>
        <v>108659</v>
      </c>
      <c r="H24" s="84">
        <f>ROUND('VHČ 2014 (v Kč)'!H24/1000,0)</f>
        <v>14005</v>
      </c>
      <c r="I24" s="156">
        <f>ROUND('VHČ 2014 (v Kč)'!I24/1000,0)</f>
        <v>0</v>
      </c>
      <c r="J24" s="144">
        <f>ROUND('VHČ 2014 (v Kč)'!J24/1000,0)</f>
        <v>4846</v>
      </c>
      <c r="K24" s="85">
        <f>ROUND('VHČ 2014 (v Kč)'!K24/1000,0)</f>
        <v>2491</v>
      </c>
      <c r="L24" s="85">
        <f>ROUND('VHČ 2014 (v Kč)'!L24/1000,0)</f>
        <v>4952</v>
      </c>
      <c r="M24" s="85">
        <f>ROUND('VHČ 2014 (v Kč)'!M24/1000,0)</f>
        <v>94</v>
      </c>
      <c r="N24" s="85">
        <f>ROUND('VHČ 2014 (v Kč)'!N24/1000,0)</f>
        <v>10120</v>
      </c>
      <c r="O24" s="85">
        <f>ROUND('VHČ 2014 (v Kč)'!O24/1000,0)</f>
        <v>8846</v>
      </c>
      <c r="P24" s="86">
        <f>ROUND('VHČ 2014 (v Kč)'!P24/1000,0)</f>
        <v>398</v>
      </c>
      <c r="Q24" s="150">
        <f>ROUND('VHČ 2014 (v Kč)'!Q24/1000,0)</f>
        <v>1335</v>
      </c>
      <c r="R24" s="137">
        <f>ROUND('VHČ 2014 (v Kč)'!R24/1000,0)</f>
        <v>10029</v>
      </c>
      <c r="S24" s="85">
        <f>ROUND('VHČ 2014 (v Kč)'!S24/1000,0)</f>
        <v>323</v>
      </c>
      <c r="T24" s="85">
        <f>ROUND('VHČ 2014 (v Kč)'!T24/1000,0)</f>
        <v>12573</v>
      </c>
      <c r="U24" s="85">
        <f>ROUND('VHČ 2014 (v Kč)'!U24/1000,0)</f>
        <v>506</v>
      </c>
      <c r="V24" s="85">
        <f>ROUND('VHČ 2014 (v Kč)'!V24/1000,0)</f>
        <v>4832</v>
      </c>
      <c r="W24" s="87">
        <f>ROUND('VHČ 2014 (v Kč)'!W24/1000,0)+1</f>
        <v>2217</v>
      </c>
      <c r="X24" s="150">
        <f>ROUND('VHČ 2014 (v Kč)'!X24/1000,0)</f>
        <v>15602</v>
      </c>
      <c r="Y24" s="85">
        <f>ROUND('VHČ 2014 (v Kč)'!Y24/1000,0)</f>
        <v>3242</v>
      </c>
      <c r="Z24" s="85">
        <f>ROUND('VHČ 2014 (v Kč)'!Z24/1000,0)</f>
        <v>61</v>
      </c>
      <c r="AA24" s="85">
        <f>ROUND('VHČ 2014 (v Kč)'!AA24/1000,0)</f>
        <v>10384</v>
      </c>
      <c r="AB24" s="85">
        <f>ROUND('VHČ 2014 (v Kč)'!AB24/1000,0)</f>
        <v>71</v>
      </c>
      <c r="AC24" s="270">
        <f>ROUND('VHČ 2014 (v Kč)'!AC24/1000,0)</f>
        <v>1732</v>
      </c>
    </row>
    <row r="25" spans="1:219" s="166" customFormat="1" ht="18" customHeight="1" thickBot="1" x14ac:dyDescent="0.35">
      <c r="A25" s="2"/>
      <c r="B25" s="3"/>
      <c r="C25" s="42"/>
      <c r="D25" s="111"/>
      <c r="E25" s="112"/>
      <c r="F25" s="113"/>
      <c r="G25" s="112"/>
      <c r="H25" s="90"/>
      <c r="I25" s="158"/>
      <c r="J25" s="148"/>
      <c r="K25" s="149"/>
      <c r="L25" s="124"/>
      <c r="M25" s="124"/>
      <c r="N25" s="125"/>
      <c r="O25" s="124"/>
      <c r="P25" s="126"/>
      <c r="Q25" s="152"/>
      <c r="R25" s="127"/>
      <c r="S25" s="280"/>
      <c r="T25" s="128"/>
      <c r="U25" s="280"/>
      <c r="V25" s="128"/>
      <c r="W25" s="281"/>
      <c r="X25" s="155"/>
      <c r="Y25" s="282"/>
      <c r="Z25" s="282"/>
      <c r="AA25" s="282"/>
      <c r="AB25" s="282"/>
      <c r="AC25" s="283"/>
    </row>
    <row r="26" spans="1:219" s="166" customFormat="1" ht="21" customHeight="1" thickBot="1" x14ac:dyDescent="0.35">
      <c r="A26" s="191">
        <v>17</v>
      </c>
      <c r="B26" s="192"/>
      <c r="C26" s="47" t="s">
        <v>56</v>
      </c>
      <c r="D26" s="284">
        <f>D22-D24</f>
        <v>560016</v>
      </c>
      <c r="E26" s="285">
        <f>0+E22-E24</f>
        <v>219708</v>
      </c>
      <c r="F26" s="286">
        <f>0+F22-F24</f>
        <v>576</v>
      </c>
      <c r="G26" s="285">
        <f t="shared" ref="G26:AC26" si="5">SUM(G22-G24)</f>
        <v>339732</v>
      </c>
      <c r="H26" s="287">
        <f t="shared" si="5"/>
        <v>-22849</v>
      </c>
      <c r="I26" s="288">
        <f t="shared" si="5"/>
        <v>-1017</v>
      </c>
      <c r="J26" s="289">
        <f t="shared" si="5"/>
        <v>14009</v>
      </c>
      <c r="K26" s="290">
        <f t="shared" si="5"/>
        <v>5670</v>
      </c>
      <c r="L26" s="291">
        <f t="shared" si="5"/>
        <v>13215</v>
      </c>
      <c r="M26" s="291">
        <f t="shared" si="5"/>
        <v>248</v>
      </c>
      <c r="N26" s="292">
        <f t="shared" si="5"/>
        <v>34674</v>
      </c>
      <c r="O26" s="291">
        <f t="shared" si="5"/>
        <v>26460</v>
      </c>
      <c r="P26" s="293">
        <f t="shared" si="5"/>
        <v>1703</v>
      </c>
      <c r="Q26" s="294">
        <f t="shared" si="5"/>
        <v>4738</v>
      </c>
      <c r="R26" s="295">
        <f t="shared" si="5"/>
        <v>76809</v>
      </c>
      <c r="S26" s="296">
        <f t="shared" si="5"/>
        <v>1041</v>
      </c>
      <c r="T26" s="297">
        <f t="shared" si="5"/>
        <v>54539</v>
      </c>
      <c r="U26" s="296">
        <f t="shared" si="5"/>
        <v>8462</v>
      </c>
      <c r="V26" s="297">
        <f t="shared" si="5"/>
        <v>13987</v>
      </c>
      <c r="W26" s="298">
        <f t="shared" si="5"/>
        <v>12819</v>
      </c>
      <c r="X26" s="299">
        <f t="shared" si="5"/>
        <v>48223</v>
      </c>
      <c r="Y26" s="300">
        <f t="shared" si="5"/>
        <v>7998</v>
      </c>
      <c r="Z26" s="300">
        <f t="shared" si="5"/>
        <v>134</v>
      </c>
      <c r="AA26" s="300">
        <f t="shared" si="5"/>
        <v>37154</v>
      </c>
      <c r="AB26" s="300">
        <f t="shared" si="5"/>
        <v>243</v>
      </c>
      <c r="AC26" s="301">
        <f t="shared" si="5"/>
        <v>1472</v>
      </c>
    </row>
    <row r="27" spans="1:219" s="166" customFormat="1" ht="15" customHeight="1" thickTop="1" x14ac:dyDescent="0.3">
      <c r="A27" s="51"/>
      <c r="B27" s="51"/>
      <c r="C27" s="129"/>
      <c r="D27" s="53"/>
      <c r="E27" s="54"/>
      <c r="F27" s="54"/>
      <c r="G27" s="53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</row>
    <row r="28" spans="1:219" s="166" customFormat="1" ht="18.75" customHeight="1" thickBot="1" x14ac:dyDescent="0.35">
      <c r="A28" s="51"/>
      <c r="B28" s="51"/>
      <c r="C28" s="129"/>
      <c r="D28" s="53"/>
      <c r="E28" s="54"/>
      <c r="F28" s="54"/>
      <c r="G28" s="53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:219" s="166" customFormat="1" ht="19.5" thickBot="1" x14ac:dyDescent="0.35">
      <c r="A29" s="216">
        <v>18</v>
      </c>
      <c r="B29" s="217">
        <v>241</v>
      </c>
      <c r="C29" s="218" t="s">
        <v>46</v>
      </c>
      <c r="D29" s="219">
        <f>SUM(E29:G29)</f>
        <v>919756</v>
      </c>
      <c r="E29" s="222">
        <f>ROUND('VHČ 2014 (v Kč)'!E32/1000,0)</f>
        <v>129603</v>
      </c>
      <c r="F29" s="221">
        <f>ROUND('VHČ 2014 (v Kč)'!F32/1000,0)</f>
        <v>1291</v>
      </c>
      <c r="G29" s="220">
        <f>SUM(H29:AC29)</f>
        <v>788862</v>
      </c>
      <c r="H29" s="222">
        <f>ROUND('VHČ 2014 (v Kč)'!H32/1000,0)</f>
        <v>112050</v>
      </c>
      <c r="I29" s="223">
        <f>ROUND('VHČ 2014 (v Kč)'!I32/1000,0)</f>
        <v>1155</v>
      </c>
      <c r="J29" s="224">
        <f>ROUND('VHČ 2014 (v Kč)'!J32/1000,0)</f>
        <v>104727</v>
      </c>
      <c r="K29" s="225">
        <f>ROUND('VHČ 2014 (v Kč)'!K32/1000,0)</f>
        <v>12153</v>
      </c>
      <c r="L29" s="225">
        <f>ROUND('VHČ 2014 (v Kč)'!L32/1000,0)</f>
        <v>60204</v>
      </c>
      <c r="M29" s="225">
        <f>ROUND('VHČ 2014 (v Kč)'!M32/1000,0)</f>
        <v>4275</v>
      </c>
      <c r="N29" s="225">
        <f>ROUND('VHČ 2014 (v Kč)'!N32/1000,0)</f>
        <v>13394</v>
      </c>
      <c r="O29" s="225">
        <f>ROUND('VHČ 2014 (v Kč)'!O32/1000,0)</f>
        <v>45090</v>
      </c>
      <c r="P29" s="223">
        <f>ROUND('VHČ 2014 (v Kč)'!P32/1000,0)</f>
        <v>1845</v>
      </c>
      <c r="Q29" s="226">
        <f>ROUND('VHČ 2014 (v Kč)'!Q32/1000,0)</f>
        <v>7048</v>
      </c>
      <c r="R29" s="225">
        <f>ROUND('VHČ 2014 (v Kč)'!R32/1000,0)</f>
        <v>73971</v>
      </c>
      <c r="S29" s="225">
        <f>ROUND('VHČ 2014 (v Kč)'!S32/1000,0)</f>
        <v>7610</v>
      </c>
      <c r="T29" s="225">
        <f>ROUND('VHČ 2014 (v Kč)'!T32/1000,0)</f>
        <v>61120</v>
      </c>
      <c r="U29" s="225">
        <f>ROUND('VHČ 2014 (v Kč)'!U32/1000,0)</f>
        <v>22294</v>
      </c>
      <c r="V29" s="225">
        <f>ROUND('VHČ 2014 (v Kč)'!V32/1000,0)</f>
        <v>13546</v>
      </c>
      <c r="W29" s="227">
        <f>ROUND('VHČ 2014 (v Kč)'!W32/1000,0)</f>
        <v>43367</v>
      </c>
      <c r="X29" s="226">
        <f>ROUND('VHČ 2014 (v Kč)'!X32/1000,0)</f>
        <v>58484</v>
      </c>
      <c r="Y29" s="225">
        <f>ROUND('VHČ 2014 (v Kč)'!Y32/1000,0)</f>
        <v>33224</v>
      </c>
      <c r="Z29" s="225">
        <f>ROUND('VHČ 2014 (v Kč)'!Z32/1000,0)+1</f>
        <v>2064</v>
      </c>
      <c r="AA29" s="225">
        <f>ROUND('VHČ 2014 (v Kč)'!AA32/1000,0)</f>
        <v>78062</v>
      </c>
      <c r="AB29" s="225">
        <f>ROUND('VHČ 2014 (v Kč)'!AB32/1000,0)</f>
        <v>8602</v>
      </c>
      <c r="AC29" s="223">
        <f>ROUND('VHČ 2014 (v Kč)'!AC32/1000,0)</f>
        <v>24577</v>
      </c>
    </row>
    <row r="30" spans="1:219" s="166" customFormat="1" ht="15" customHeight="1" thickBot="1" x14ac:dyDescent="0.3">
      <c r="A30" s="55" t="s">
        <v>38</v>
      </c>
      <c r="B30" s="55"/>
      <c r="C30" s="56"/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170"/>
      <c r="O30" s="170"/>
      <c r="P30" s="170"/>
      <c r="Q30" s="170"/>
      <c r="R30" s="170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</row>
    <row r="31" spans="1:219" s="166" customFormat="1" ht="19.5" thickBot="1" x14ac:dyDescent="0.35">
      <c r="A31" s="216">
        <v>19</v>
      </c>
      <c r="B31" s="217">
        <v>432</v>
      </c>
      <c r="C31" s="350" t="s">
        <v>68</v>
      </c>
      <c r="D31" s="219">
        <f>SUM(E31:G31)</f>
        <v>775333</v>
      </c>
      <c r="E31" s="222">
        <f>ROUND('VHČ 2014 (v Kč)'!E33/1000,0)</f>
        <v>52331</v>
      </c>
      <c r="F31" s="221">
        <f>ROUND('VHČ 2014 (v Kč)'!F33/1000,0)</f>
        <v>784</v>
      </c>
      <c r="G31" s="220">
        <f>SUM(H31:AC31)</f>
        <v>722218</v>
      </c>
      <c r="H31" s="222">
        <f>ROUND('VHČ 2014 (v Kč)'!H33/1000,0)</f>
        <v>285872</v>
      </c>
      <c r="I31" s="223">
        <f>ROUND('VHČ 2014 (v Kč)'!I33/1000,0)</f>
        <v>3747</v>
      </c>
      <c r="J31" s="224">
        <f>ROUND('VHČ 2014 (v Kč)'!J33/1000,0)</f>
        <v>109704</v>
      </c>
      <c r="K31" s="225">
        <f>ROUND('VHČ 2014 (v Kč)'!K33/1000,0)</f>
        <v>0</v>
      </c>
      <c r="L31" s="225">
        <f>ROUND('VHČ 2014 (v Kč)'!L33/1000,0)</f>
        <v>50098</v>
      </c>
      <c r="M31" s="225">
        <f>ROUND('VHČ 2014 (v Kč)'!M33/1000,0)</f>
        <v>1716</v>
      </c>
      <c r="N31" s="225">
        <f>ROUND('VHČ 2014 (v Kč)'!N33/1000,0)</f>
        <v>159077</v>
      </c>
      <c r="O31" s="225">
        <f>ROUND('VHČ 2014 (v Kč)'!O33/1000,0)</f>
        <v>0</v>
      </c>
      <c r="P31" s="223">
        <f>ROUND('VHČ 2014 (v Kč)'!P33/1000,0)</f>
        <v>0</v>
      </c>
      <c r="Q31" s="226">
        <f>ROUND('VHČ 2014 (v Kč)'!Q33/1000,0)</f>
        <v>-2352</v>
      </c>
      <c r="R31" s="225">
        <f>ROUND('VHČ 2014 (v Kč)'!R33/1000,0)</f>
        <v>470</v>
      </c>
      <c r="S31" s="225">
        <f>ROUND('VHČ 2014 (v Kč)'!S33/1000,0)</f>
        <v>8235</v>
      </c>
      <c r="T31" s="225">
        <f>ROUND('VHČ 2014 (v Kč)'!T33/1000,0)</f>
        <v>0</v>
      </c>
      <c r="U31" s="225">
        <f>ROUND('VHČ 2014 (v Kč)'!U33/1000,0)</f>
        <v>9910</v>
      </c>
      <c r="V31" s="225">
        <f>ROUND('VHČ 2014 (v Kč)'!V33/1000,0)</f>
        <v>5020</v>
      </c>
      <c r="W31" s="227">
        <f>ROUND('VHČ 2014 (v Kč)'!W33/1000,0)</f>
        <v>22889</v>
      </c>
      <c r="X31" s="226">
        <f>ROUND('VHČ 2014 (v Kč)'!X33/1000,0)</f>
        <v>0</v>
      </c>
      <c r="Y31" s="225">
        <f>ROUND('VHČ 2014 (v Kč)'!Y33/1000,0)-1</f>
        <v>14321</v>
      </c>
      <c r="Z31" s="225">
        <f>ROUND('VHČ 2014 (v Kč)'!Z33/1000,0)</f>
        <v>1118</v>
      </c>
      <c r="AA31" s="225">
        <f>ROUND('VHČ 2014 (v Kč)'!AA33/1000,0)</f>
        <v>30719</v>
      </c>
      <c r="AB31" s="225">
        <f>ROUND('VHČ 2014 (v Kč)'!AB33/1000,0)</f>
        <v>2307</v>
      </c>
      <c r="AC31" s="223">
        <f>ROUND('VHČ 2014 (v Kč)'!AC33/1000,0)</f>
        <v>19367</v>
      </c>
    </row>
    <row r="32" spans="1:219" s="166" customFormat="1" ht="18" x14ac:dyDescent="0.25">
      <c r="E32" s="58"/>
      <c r="F32" s="58"/>
      <c r="G32" s="60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</row>
    <row r="33" spans="5:13" ht="18" x14ac:dyDescent="0.25">
      <c r="E33" s="58"/>
      <c r="F33" s="58"/>
      <c r="G33" s="58"/>
      <c r="H33" s="58"/>
      <c r="I33" s="58"/>
      <c r="J33" s="58"/>
      <c r="K33" s="58"/>
      <c r="L33" s="58"/>
      <c r="M33" s="59"/>
    </row>
    <row r="34" spans="5:13" ht="18" x14ac:dyDescent="0.25">
      <c r="E34" s="61"/>
      <c r="F34" s="61"/>
      <c r="G34" s="61"/>
      <c r="H34" s="61"/>
      <c r="I34" s="61"/>
      <c r="J34" s="61"/>
      <c r="K34" s="61"/>
      <c r="L34" s="61"/>
    </row>
    <row r="35" spans="5:13" ht="18" x14ac:dyDescent="0.25">
      <c r="E35" s="61"/>
      <c r="F35" s="61"/>
      <c r="G35" s="61"/>
      <c r="H35" s="61"/>
      <c r="I35" s="61"/>
      <c r="J35" s="61"/>
      <c r="K35" s="61"/>
      <c r="L35" s="61"/>
    </row>
    <row r="36" spans="5:13" ht="18" x14ac:dyDescent="0.25">
      <c r="E36" s="61"/>
      <c r="F36" s="61"/>
      <c r="G36" s="61"/>
      <c r="H36" s="61"/>
      <c r="I36" s="61"/>
      <c r="J36" s="61"/>
      <c r="K36" s="61"/>
      <c r="L36" s="61"/>
    </row>
    <row r="37" spans="5:13" ht="18" x14ac:dyDescent="0.25">
      <c r="E37" s="61"/>
      <c r="F37" s="61"/>
      <c r="G37" s="61"/>
      <c r="H37" s="61"/>
      <c r="I37" s="61"/>
      <c r="J37" s="61"/>
      <c r="K37" s="61"/>
      <c r="L37" s="61"/>
    </row>
    <row r="38" spans="5:13" ht="18" x14ac:dyDescent="0.25">
      <c r="E38" s="61"/>
      <c r="F38" s="61"/>
      <c r="G38" s="61"/>
      <c r="H38" s="61"/>
      <c r="I38" s="61"/>
      <c r="J38" s="61"/>
      <c r="K38" s="61"/>
      <c r="L38" s="61"/>
    </row>
    <row r="39" spans="5:13" ht="18" x14ac:dyDescent="0.25">
      <c r="E39" s="61"/>
      <c r="F39" s="61"/>
      <c r="G39" s="61"/>
      <c r="H39" s="61"/>
      <c r="I39" s="61"/>
      <c r="J39" s="61"/>
      <c r="K39" s="61"/>
      <c r="L39" s="61"/>
    </row>
    <row r="40" spans="5:13" ht="18" x14ac:dyDescent="0.25">
      <c r="E40" s="61"/>
      <c r="F40" s="61"/>
      <c r="G40" s="61"/>
      <c r="H40" s="61"/>
      <c r="I40" s="61"/>
      <c r="J40" s="61"/>
      <c r="K40" s="61"/>
      <c r="L40" s="61"/>
    </row>
    <row r="41" spans="5:13" ht="18" x14ac:dyDescent="0.25">
      <c r="E41" s="61"/>
      <c r="F41" s="61"/>
      <c r="G41" s="61"/>
      <c r="H41" s="61"/>
      <c r="I41" s="61"/>
      <c r="J41" s="61"/>
      <c r="K41" s="61"/>
      <c r="L41" s="61"/>
    </row>
    <row r="42" spans="5:13" ht="18" x14ac:dyDescent="0.25">
      <c r="E42" s="61"/>
      <c r="F42" s="61"/>
      <c r="G42" s="61"/>
      <c r="H42" s="61"/>
      <c r="I42" s="61"/>
      <c r="J42" s="61"/>
      <c r="K42" s="61"/>
      <c r="L42" s="61"/>
    </row>
  </sheetData>
  <mergeCells count="30">
    <mergeCell ref="G1:G3"/>
    <mergeCell ref="A1:A3"/>
    <mergeCell ref="B1:B3"/>
    <mergeCell ref="C1:C3"/>
    <mergeCell ref="D1:D3"/>
    <mergeCell ref="E1:F1"/>
    <mergeCell ref="R1:R3"/>
    <mergeCell ref="S1:S3"/>
    <mergeCell ref="H1:H3"/>
    <mergeCell ref="I1:I3"/>
    <mergeCell ref="J1:J3"/>
    <mergeCell ref="K1:K3"/>
    <mergeCell ref="L1:L3"/>
    <mergeCell ref="M1:M3"/>
    <mergeCell ref="Z1:Z3"/>
    <mergeCell ref="AA1:AA3"/>
    <mergeCell ref="AB1:AB3"/>
    <mergeCell ref="AC1:AC3"/>
    <mergeCell ref="E2:E3"/>
    <mergeCell ref="F2:F3"/>
    <mergeCell ref="T1:T3"/>
    <mergeCell ref="U1:U3"/>
    <mergeCell ref="V1:V3"/>
    <mergeCell ref="W1:W3"/>
    <mergeCell ref="X1:X3"/>
    <mergeCell ref="Y1:Y3"/>
    <mergeCell ref="N1:N3"/>
    <mergeCell ref="O1:O3"/>
    <mergeCell ref="P1:P3"/>
    <mergeCell ref="Q1:Q3"/>
  </mergeCells>
  <printOptions horizontalCentered="1"/>
  <pageMargins left="0.51181102362204722" right="0.51181102362204722" top="1.3385826771653544" bottom="0.86614173228346458" header="0.82677165354330717" footer="0.59055118110236227"/>
  <pageSetup paperSize="9" scale="68" fitToHeight="4" orientation="landscape" r:id="rId1"/>
  <headerFooter alignWithMargins="0">
    <oddHeader>&amp;C&amp;"Times New Roman CE,Tučné"&amp;20Přehled o vedlejší hospodářské činnosti města Brna za rok 2014 (v tis. Kč)</oddHeader>
    <oddFooter>&amp;R&amp;"Times New Roman,Obyčejné"&amp;11&amp;P</oddFooter>
  </headerFooter>
  <colBreaks count="3" manualBreakCount="3">
    <brk id="6" max="30" man="1"/>
    <brk id="16" max="1048575" man="1"/>
    <brk id="23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ln_x011b_n_x00ed__x0020_rozpo_x010d_tu xmlns="626c80ca-c64a-4e2b-8fdc-4ca129da90da">4</Pln_x011b_n_x00ed__x0020_rozpo_x010d_tu>
    <Rok xmlns="626c80ca-c64a-4e2b-8fdc-4ca129da90da">3</Rok>
    <_dlc_DocId xmlns="fc3156d0-6477-4e59-85db-677a3ac3ddef">K6F56YJ4D42X-540-520</_dlc_DocId>
    <_dlc_DocIdUrl xmlns="fc3156d0-6477-4e59-85db-677a3ac3ddef">
      <Url>http://project.brno.cz/ORF/RI/_layouts/DocIdRedir.aspx?ID=K6F56YJ4D42X-540-520</Url>
      <Description>K6F56YJ4D42X-540-520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696589-CE32-412E-BD5F-1455EB79B3D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98DBDF4-1F82-4D68-AF04-6805B5C346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9947C8-6095-4375-B8A5-42072F39F368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626c80ca-c64a-4e2b-8fdc-4ca129da90da"/>
    <ds:schemaRef ds:uri="fc3156d0-6477-4e59-85db-677a3ac3ddef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4E41371-D2B6-46FD-82E5-1C31927F823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8A99610-300E-4E62-B044-42665BC30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VHČ 2014 (v tis.Kč)</vt:lpstr>
      <vt:lpstr>VHČ 2014 (v Kč)</vt:lpstr>
      <vt:lpstr>VHČ MMB</vt:lpstr>
      <vt:lpstr>'VHČ 2014 (v Kč)'!Názvy_tisku</vt:lpstr>
      <vt:lpstr>'VHČ 2014 (v tis.Kč)'!Názvy_tisku</vt:lpstr>
      <vt:lpstr>'VHČ MMB'!Názvy_tisku</vt:lpstr>
      <vt:lpstr>'VHČ 2014 (v Kč)'!Oblast_tisku</vt:lpstr>
      <vt:lpstr>'VHČ 2014 (v tis.Kč)'!Oblast_tisku</vt:lpstr>
      <vt:lpstr>'VHČ MMB'!Oblast_tisku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Jiri Trnecka</cp:lastModifiedBy>
  <cp:lastPrinted>2015-05-25T08:47:43Z</cp:lastPrinted>
  <dcterms:created xsi:type="dcterms:W3CDTF">2011-02-10T08:15:55Z</dcterms:created>
  <dcterms:modified xsi:type="dcterms:W3CDTF">2015-05-25T08:47:45Z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K6F56YJ4D42X-540-159</vt:lpwstr>
  </property>
  <property fmtid="{D5CDD505-2E9C-101B-9397-08002B2CF9AE}" pid="3" name="_dlc_DocIdItemGuid">
    <vt:lpwstr>5d17955b-e368-4e27-862b-ee2737cd80dc</vt:lpwstr>
  </property>
  <property fmtid="{D5CDD505-2E9C-101B-9397-08002B2CF9AE}" pid="4" name="_dlc_DocIdUrl">
    <vt:lpwstr>http://project.brno.cz/ORF/RI/_layouts/DocIdRedir.aspx?ID=K6F56YJ4D42X-540-159, K6F56YJ4D42X-540-159</vt:lpwstr>
  </property>
  <property fmtid="{D5CDD505-2E9C-101B-9397-08002B2CF9AE}" pid="5" name="ContentTypeId">
    <vt:lpwstr>0x010100C27D4E3435A3B64688955AA93779053B</vt:lpwstr>
  </property>
  <property fmtid="{D5CDD505-2E9C-101B-9397-08002B2CF9AE}" pid="6" name="Rok">
    <vt:lpwstr/>
  </property>
</Properties>
</file>