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Závěrečný účet\Závěrečný účet 2016\INTERNET\"/>
    </mc:Choice>
  </mc:AlternateContent>
  <bookViews>
    <workbookView xWindow="-15" yWindow="-15" windowWidth="9600" windowHeight="11640" tabRatio="663"/>
  </bookViews>
  <sheets>
    <sheet name="Daňové" sheetId="14" r:id="rId1"/>
    <sheet name="Nedaňové" sheetId="13" r:id="rId2"/>
    <sheet name="Kapitálové" sheetId="11" r:id="rId3"/>
    <sheet name="Transfery" sheetId="12" r:id="rId4"/>
    <sheet name="Běžné_výd" sheetId="8" r:id="rId5"/>
    <sheet name="BV-položky" sheetId="15" r:id="rId6"/>
    <sheet name="Kapitálové_výd" sheetId="7" r:id="rId7"/>
    <sheet name="Investice" sheetId="16" r:id="rId8"/>
  </sheets>
  <externalReferences>
    <externalReference r:id="rId9"/>
    <externalReference r:id="rId10"/>
    <externalReference r:id="rId11"/>
  </externalReferences>
  <definedNames>
    <definedName name="_xlnm._FilterDatabase" localSheetId="4" hidden="1">Běžné_výd!$A$1:$I$247</definedName>
    <definedName name="_xlnm._FilterDatabase" localSheetId="0" hidden="1">Daňové!$A$1:$G$8</definedName>
    <definedName name="_xlnm._FilterDatabase" localSheetId="7" hidden="1">Investice!$A$2:$T$481</definedName>
    <definedName name="_xlnm._FilterDatabase" localSheetId="2" hidden="1">Kapitálové!$A$1:$I$1</definedName>
    <definedName name="_xlnm._FilterDatabase" localSheetId="6" hidden="1">Kapitálové_výd!$A$1:$D$1</definedName>
    <definedName name="_xlnm._FilterDatabase" localSheetId="1" hidden="1">Nedaňové!$A$1:$L$198</definedName>
    <definedName name="_xlnm._FilterDatabase" localSheetId="3" hidden="1">Transfery!$A$1:$I$1</definedName>
    <definedName name="_xlnm._FilterDatabase">#REF!</definedName>
    <definedName name="as" hidden="1">#REF!</definedName>
    <definedName name="_xlnm.Database" localSheetId="5">#REF!</definedName>
    <definedName name="_xlnm.Database">#REF!</definedName>
    <definedName name="k" hidden="1">#REF!</definedName>
    <definedName name="nazev_orj">[3]zp_navrh_pomoc!$X$3:$Y$85</definedName>
    <definedName name="nazvy_orj">#REF!</definedName>
    <definedName name="nazvy_po">#REF!</definedName>
    <definedName name="_xlnm.Print_Titles" localSheetId="4">Běžné_výd!$1:$1</definedName>
    <definedName name="_xlnm.Print_Titles" localSheetId="5">'BV-položky'!$2:$2</definedName>
    <definedName name="_xlnm.Print_Titles" localSheetId="0">Daňové!$1:$1</definedName>
    <definedName name="_xlnm.Print_Titles" localSheetId="7">Investice!$2:$2</definedName>
    <definedName name="_xlnm.Print_Titles" localSheetId="2">Kapitálové!$1:$1</definedName>
    <definedName name="_xlnm.Print_Titles" localSheetId="6">Kapitálové_výd!$1:$1</definedName>
    <definedName name="_xlnm.Print_Titles" localSheetId="1">Nedaňové!$1:$1</definedName>
    <definedName name="_xlnm.Print_Titles" localSheetId="3">Transfery!$1:$1</definedName>
    <definedName name="_xlnm.Print_Area" localSheetId="4">Běžné_výd!$A$1:$H$244</definedName>
    <definedName name="_xlnm.Print_Area" localSheetId="5">'BV-položky'!$A$1:$G$87</definedName>
    <definedName name="_xlnm.Print_Area" localSheetId="0">Daňové!$A$1:$I$38</definedName>
    <definedName name="_xlnm.Print_Area" localSheetId="7">Investice!$A$2:$T$495</definedName>
    <definedName name="_xlnm.Print_Area" localSheetId="2">Kapitálové!$A$1:$K$11</definedName>
    <definedName name="_xlnm.Print_Area" localSheetId="6">Kapitálové_výd!$A$1:$H$153</definedName>
    <definedName name="_xlnm.Print_Area" localSheetId="1">Nedaňové!$A$1:$K$200</definedName>
    <definedName name="_xlnm.Print_Area" localSheetId="3">Transfery!$A$1:$K$25</definedName>
    <definedName name="oddily">[3]souhrn!$P$5:$P$27</definedName>
    <definedName name="org_zavplan">OFFSET(Investice!$D$465,0,0,COUNTA(Investice!$D$3:$D$527),1)</definedName>
    <definedName name="org_zavplan_navrh">OFFSET(#REF!,0,0,COUNTA(#REF!),1)</definedName>
    <definedName name="orj_zavplan">OFFSET(Investice!$B$465,0,0,COUNTA(Investice!$B$3:$B$527),1)</definedName>
    <definedName name="orj_zavplan_navrh">OFFSET(#REF!,0,0,COUNTA(#REF!),1)</definedName>
    <definedName name="p">#REF!</definedName>
    <definedName name="paragraf">Investice!$C$3:$C$481</definedName>
    <definedName name="paragraf_zavplan" localSheetId="7">OFFSET(Investice!$C$465,0,0,COUNTA(Investice!$C$3:$C$527),1)</definedName>
    <definedName name="paragraf_zavplan_navrh">OFFSET(#REF!,0,0,COUNTA(#REF!),1)</definedName>
    <definedName name="pol_zavplan">OFFSET(Investice!$E$465,0,0,COUNTA(Investice!$E$3:$E$527),1)</definedName>
    <definedName name="popisky">[3]souhrn!$Q$5:$Q$27</definedName>
    <definedName name="popisradku">[2]X!$O$25:$O$31</definedName>
    <definedName name="Print_Area">#REF!</definedName>
    <definedName name="Print_Titles">#REF!</definedName>
    <definedName name="rotyp">[2]X!$N$25:$N$31</definedName>
    <definedName name="z" hidden="1">#REF!</definedName>
  </definedNames>
  <calcPr calcId="152511"/>
</workbook>
</file>

<file path=xl/calcChain.xml><?xml version="1.0" encoding="utf-8"?>
<calcChain xmlns="http://schemas.openxmlformats.org/spreadsheetml/2006/main">
  <c r="J494" i="16" l="1"/>
  <c r="I494" i="16"/>
  <c r="K494" i="16" s="1"/>
  <c r="H494" i="16"/>
  <c r="J493" i="16"/>
  <c r="I493" i="16"/>
  <c r="K493" i="16" s="1"/>
  <c r="H493" i="16"/>
  <c r="J492" i="16"/>
  <c r="I492" i="16"/>
  <c r="K492" i="16" s="1"/>
  <c r="H492" i="16"/>
  <c r="J491" i="16"/>
  <c r="H491" i="16"/>
  <c r="J490" i="16"/>
  <c r="H490" i="16"/>
  <c r="J489" i="16"/>
  <c r="I489" i="16"/>
  <c r="K489" i="16" s="1"/>
  <c r="H489" i="16"/>
  <c r="A483" i="16"/>
  <c r="S482" i="16"/>
  <c r="R482" i="16"/>
  <c r="Q482" i="16"/>
  <c r="P482" i="16"/>
  <c r="O482" i="16"/>
  <c r="N482" i="16"/>
  <c r="M482" i="16"/>
  <c r="L482" i="16"/>
  <c r="K482" i="16"/>
  <c r="J482" i="16"/>
  <c r="A482" i="16"/>
  <c r="AC481" i="16"/>
  <c r="AA481" i="16"/>
  <c r="Y481" i="16"/>
  <c r="Z481" i="16" s="1"/>
  <c r="W481" i="16"/>
  <c r="V481" i="16"/>
  <c r="P481" i="16"/>
  <c r="A481" i="16"/>
  <c r="AA480" i="16"/>
  <c r="Y480" i="16"/>
  <c r="Z480" i="16" s="1"/>
  <c r="S480" i="16"/>
  <c r="R480" i="16"/>
  <c r="Q480" i="16"/>
  <c r="O480" i="16"/>
  <c r="N480" i="16"/>
  <c r="P480" i="16" s="1"/>
  <c r="M480" i="16"/>
  <c r="L480" i="16"/>
  <c r="K480" i="16"/>
  <c r="J480" i="16"/>
  <c r="A480" i="16"/>
  <c r="AC479" i="16"/>
  <c r="AA479" i="16"/>
  <c r="Z479" i="16"/>
  <c r="W479" i="16"/>
  <c r="V479" i="16"/>
  <c r="Y479" i="16" s="1"/>
  <c r="P479" i="16"/>
  <c r="A479" i="16"/>
  <c r="AA478" i="16"/>
  <c r="Z478" i="16"/>
  <c r="Y478" i="16"/>
  <c r="S478" i="16"/>
  <c r="R478" i="16"/>
  <c r="Q478" i="16"/>
  <c r="O478" i="16"/>
  <c r="N478" i="16"/>
  <c r="M478" i="16"/>
  <c r="L478" i="16"/>
  <c r="K478" i="16"/>
  <c r="J478" i="16"/>
  <c r="A478" i="16"/>
  <c r="AC477" i="16"/>
  <c r="AA477" i="16"/>
  <c r="V477" i="16"/>
  <c r="Y477" i="16" s="1"/>
  <c r="Z477" i="16" s="1"/>
  <c r="P477" i="16"/>
  <c r="W477" i="16" s="1"/>
  <c r="A477" i="16"/>
  <c r="AC476" i="16"/>
  <c r="AA476" i="16"/>
  <c r="Z476" i="16"/>
  <c r="W476" i="16"/>
  <c r="V476" i="16"/>
  <c r="Y476" i="16" s="1"/>
  <c r="P476" i="16"/>
  <c r="A476" i="16"/>
  <c r="AC475" i="16"/>
  <c r="AA475" i="16"/>
  <c r="Y475" i="16"/>
  <c r="Z475" i="16" s="1"/>
  <c r="V475" i="16"/>
  <c r="P475" i="16"/>
  <c r="W475" i="16" s="1"/>
  <c r="A475" i="16"/>
  <c r="AC474" i="16"/>
  <c r="AA474" i="16"/>
  <c r="Z474" i="16"/>
  <c r="V474" i="16"/>
  <c r="Y474" i="16" s="1"/>
  <c r="P474" i="16"/>
  <c r="W474" i="16" s="1"/>
  <c r="A474" i="16"/>
  <c r="AC473" i="16"/>
  <c r="AA473" i="16"/>
  <c r="Z473" i="16"/>
  <c r="V473" i="16"/>
  <c r="Y473" i="16" s="1"/>
  <c r="P473" i="16"/>
  <c r="W473" i="16" s="1"/>
  <c r="A473" i="16"/>
  <c r="AC472" i="16"/>
  <c r="AA472" i="16"/>
  <c r="W472" i="16"/>
  <c r="V472" i="16"/>
  <c r="Y472" i="16" s="1"/>
  <c r="Z472" i="16" s="1"/>
  <c r="P472" i="16"/>
  <c r="A472" i="16"/>
  <c r="AC471" i="16"/>
  <c r="AA471" i="16"/>
  <c r="Y471" i="16"/>
  <c r="Z471" i="16" s="1"/>
  <c r="V471" i="16"/>
  <c r="P471" i="16"/>
  <c r="W471" i="16" s="1"/>
  <c r="A471" i="16"/>
  <c r="AC470" i="16"/>
  <c r="AA470" i="16"/>
  <c r="V470" i="16"/>
  <c r="Y470" i="16" s="1"/>
  <c r="Z470" i="16" s="1"/>
  <c r="P470" i="16"/>
  <c r="W470" i="16" s="1"/>
  <c r="A470" i="16"/>
  <c r="AC469" i="16"/>
  <c r="AA469" i="16"/>
  <c r="Z469" i="16"/>
  <c r="V469" i="16"/>
  <c r="Y469" i="16" s="1"/>
  <c r="P469" i="16"/>
  <c r="W469" i="16" s="1"/>
  <c r="A469" i="16"/>
  <c r="AC468" i="16"/>
  <c r="AA468" i="16"/>
  <c r="W468" i="16"/>
  <c r="V468" i="16"/>
  <c r="Y468" i="16" s="1"/>
  <c r="Z468" i="16" s="1"/>
  <c r="P468" i="16"/>
  <c r="A468" i="16"/>
  <c r="AC467" i="16"/>
  <c r="AA467" i="16"/>
  <c r="Y467" i="16"/>
  <c r="Z467" i="16" s="1"/>
  <c r="V467" i="16"/>
  <c r="P467" i="16"/>
  <c r="W467" i="16" s="1"/>
  <c r="A467" i="16"/>
  <c r="AC466" i="16"/>
  <c r="AA466" i="16"/>
  <c r="V466" i="16"/>
  <c r="Y466" i="16" s="1"/>
  <c r="Z466" i="16" s="1"/>
  <c r="P466" i="16"/>
  <c r="W466" i="16" s="1"/>
  <c r="A466" i="16"/>
  <c r="AC465" i="16"/>
  <c r="AA465" i="16"/>
  <c r="Z465" i="16"/>
  <c r="V465" i="16"/>
  <c r="Y465" i="16" s="1"/>
  <c r="P465" i="16"/>
  <c r="W465" i="16" s="1"/>
  <c r="A465" i="16"/>
  <c r="AC464" i="16"/>
  <c r="AA464" i="16"/>
  <c r="Z464" i="16"/>
  <c r="W464" i="16"/>
  <c r="V464" i="16"/>
  <c r="Y464" i="16" s="1"/>
  <c r="P464" i="16"/>
  <c r="A464" i="16"/>
  <c r="AC463" i="16"/>
  <c r="AA463" i="16"/>
  <c r="Y463" i="16"/>
  <c r="Z463" i="16" s="1"/>
  <c r="V463" i="16"/>
  <c r="P463" i="16"/>
  <c r="W463" i="16" s="1"/>
  <c r="A463" i="16"/>
  <c r="AC462" i="16"/>
  <c r="AA462" i="16"/>
  <c r="Z462" i="16"/>
  <c r="V462" i="16"/>
  <c r="Y462" i="16" s="1"/>
  <c r="P462" i="16"/>
  <c r="W462" i="16" s="1"/>
  <c r="A462" i="16"/>
  <c r="AC461" i="16"/>
  <c r="AA461" i="16"/>
  <c r="V461" i="16"/>
  <c r="Y461" i="16" s="1"/>
  <c r="Z461" i="16" s="1"/>
  <c r="P461" i="16"/>
  <c r="W461" i="16" s="1"/>
  <c r="A461" i="16"/>
  <c r="AC460" i="16"/>
  <c r="AA460" i="16"/>
  <c r="Z460" i="16"/>
  <c r="W460" i="16"/>
  <c r="V460" i="16"/>
  <c r="Y460" i="16" s="1"/>
  <c r="P460" i="16"/>
  <c r="A460" i="16"/>
  <c r="AA459" i="16"/>
  <c r="Z459" i="16"/>
  <c r="Y459" i="16"/>
  <c r="S459" i="16"/>
  <c r="R459" i="16"/>
  <c r="Q459" i="16"/>
  <c r="O459" i="16"/>
  <c r="N459" i="16"/>
  <c r="M459" i="16"/>
  <c r="L459" i="16"/>
  <c r="K459" i="16"/>
  <c r="J459" i="16"/>
  <c r="A459" i="16"/>
  <c r="AC458" i="16"/>
  <c r="AA458" i="16"/>
  <c r="W458" i="16"/>
  <c r="V458" i="16"/>
  <c r="Y458" i="16" s="1"/>
  <c r="Z458" i="16" s="1"/>
  <c r="P458" i="16"/>
  <c r="A458" i="16"/>
  <c r="AC457" i="16"/>
  <c r="AA457" i="16"/>
  <c r="W457" i="16"/>
  <c r="V457" i="16"/>
  <c r="Y457" i="16" s="1"/>
  <c r="Z457" i="16" s="1"/>
  <c r="P457" i="16"/>
  <c r="A457" i="16"/>
  <c r="AA456" i="16"/>
  <c r="Z456" i="16"/>
  <c r="Y456" i="16"/>
  <c r="S456" i="16"/>
  <c r="R456" i="16"/>
  <c r="Q456" i="16"/>
  <c r="O456" i="16"/>
  <c r="N456" i="16"/>
  <c r="M456" i="16"/>
  <c r="L456" i="16"/>
  <c r="K456" i="16"/>
  <c r="J456" i="16"/>
  <c r="A456" i="16"/>
  <c r="AC455" i="16"/>
  <c r="AA455" i="16"/>
  <c r="Y455" i="16"/>
  <c r="Z455" i="16" s="1"/>
  <c r="W455" i="16"/>
  <c r="V455" i="16"/>
  <c r="P455" i="16"/>
  <c r="A455" i="16"/>
  <c r="AA454" i="16"/>
  <c r="Z454" i="16"/>
  <c r="Y454" i="16"/>
  <c r="S454" i="16"/>
  <c r="R454" i="16"/>
  <c r="Q454" i="16"/>
  <c r="O454" i="16"/>
  <c r="N454" i="16"/>
  <c r="P454" i="16" s="1"/>
  <c r="M454" i="16"/>
  <c r="L454" i="16"/>
  <c r="K454" i="16"/>
  <c r="J454" i="16"/>
  <c r="A454" i="16"/>
  <c r="AC453" i="16"/>
  <c r="AA453" i="16"/>
  <c r="Z453" i="16"/>
  <c r="V453" i="16"/>
  <c r="Y453" i="16" s="1"/>
  <c r="P453" i="16"/>
  <c r="W453" i="16" s="1"/>
  <c r="A453" i="16"/>
  <c r="AA452" i="16"/>
  <c r="Y452" i="16"/>
  <c r="Z452" i="16" s="1"/>
  <c r="S452" i="16"/>
  <c r="R452" i="16"/>
  <c r="Q452" i="16"/>
  <c r="P452" i="16"/>
  <c r="O452" i="16"/>
  <c r="N452" i="16"/>
  <c r="M452" i="16"/>
  <c r="L452" i="16"/>
  <c r="K452" i="16"/>
  <c r="J452" i="16"/>
  <c r="A452" i="16"/>
  <c r="AC451" i="16"/>
  <c r="AA451" i="16"/>
  <c r="Y451" i="16"/>
  <c r="Z451" i="16" s="1"/>
  <c r="W451" i="16"/>
  <c r="V451" i="16"/>
  <c r="P451" i="16"/>
  <c r="A451" i="16"/>
  <c r="AC450" i="16"/>
  <c r="AA450" i="16"/>
  <c r="Y450" i="16"/>
  <c r="Z450" i="16" s="1"/>
  <c r="V450" i="16"/>
  <c r="P450" i="16"/>
  <c r="W450" i="16" s="1"/>
  <c r="A450" i="16"/>
  <c r="AC449" i="16"/>
  <c r="AA449" i="16"/>
  <c r="Y449" i="16"/>
  <c r="Z449" i="16" s="1"/>
  <c r="W449" i="16"/>
  <c r="V449" i="16"/>
  <c r="P449" i="16"/>
  <c r="A449" i="16"/>
  <c r="AC448" i="16"/>
  <c r="AA448" i="16"/>
  <c r="W448" i="16"/>
  <c r="V448" i="16"/>
  <c r="Y448" i="16" s="1"/>
  <c r="Z448" i="16" s="1"/>
  <c r="P448" i="16"/>
  <c r="A448" i="16"/>
  <c r="AC447" i="16"/>
  <c r="AA447" i="16"/>
  <c r="Y447" i="16"/>
  <c r="Z447" i="16" s="1"/>
  <c r="W447" i="16"/>
  <c r="V447" i="16"/>
  <c r="P447" i="16"/>
  <c r="A447" i="16"/>
  <c r="AC446" i="16"/>
  <c r="AA446" i="16"/>
  <c r="Y446" i="16"/>
  <c r="Z446" i="16" s="1"/>
  <c r="V446" i="16"/>
  <c r="P446" i="16"/>
  <c r="W446" i="16" s="1"/>
  <c r="A446" i="16"/>
  <c r="AC445" i="16"/>
  <c r="AA445" i="16"/>
  <c r="Y445" i="16"/>
  <c r="Z445" i="16" s="1"/>
  <c r="W445" i="16"/>
  <c r="V445" i="16"/>
  <c r="P445" i="16"/>
  <c r="A445" i="16"/>
  <c r="AC444" i="16"/>
  <c r="AA444" i="16"/>
  <c r="W444" i="16"/>
  <c r="V444" i="16"/>
  <c r="Y444" i="16" s="1"/>
  <c r="Z444" i="16" s="1"/>
  <c r="P444" i="16"/>
  <c r="A444" i="16"/>
  <c r="AC443" i="16"/>
  <c r="AA443" i="16"/>
  <c r="Y443" i="16"/>
  <c r="Z443" i="16" s="1"/>
  <c r="W443" i="16"/>
  <c r="V443" i="16"/>
  <c r="P443" i="16"/>
  <c r="A443" i="16"/>
  <c r="AA442" i="16"/>
  <c r="Y442" i="16"/>
  <c r="Z442" i="16" s="1"/>
  <c r="S442" i="16"/>
  <c r="R442" i="16"/>
  <c r="Q442" i="16"/>
  <c r="O442" i="16"/>
  <c r="N442" i="16"/>
  <c r="P442" i="16" s="1"/>
  <c r="M442" i="16"/>
  <c r="L442" i="16"/>
  <c r="K442" i="16"/>
  <c r="J442" i="16"/>
  <c r="A442" i="16"/>
  <c r="AC441" i="16"/>
  <c r="AA441" i="16"/>
  <c r="Z441" i="16"/>
  <c r="W441" i="16"/>
  <c r="V441" i="16"/>
  <c r="Y441" i="16" s="1"/>
  <c r="P441" i="16"/>
  <c r="A441" i="16"/>
  <c r="AA440" i="16"/>
  <c r="Z440" i="16"/>
  <c r="Y440" i="16"/>
  <c r="S440" i="16"/>
  <c r="R440" i="16"/>
  <c r="Q440" i="16"/>
  <c r="O440" i="16"/>
  <c r="N440" i="16"/>
  <c r="P440" i="16" s="1"/>
  <c r="M440" i="16"/>
  <c r="L440" i="16"/>
  <c r="K440" i="16"/>
  <c r="J440" i="16"/>
  <c r="A440" i="16"/>
  <c r="AC439" i="16"/>
  <c r="AA439" i="16"/>
  <c r="Z439" i="16"/>
  <c r="V439" i="16"/>
  <c r="Y439" i="16" s="1"/>
  <c r="P439" i="16"/>
  <c r="W439" i="16" s="1"/>
  <c r="A439" i="16"/>
  <c r="AA438" i="16"/>
  <c r="Z438" i="16"/>
  <c r="Y438" i="16"/>
  <c r="S438" i="16"/>
  <c r="R438" i="16"/>
  <c r="Q438" i="16"/>
  <c r="P438" i="16"/>
  <c r="O438" i="16"/>
  <c r="N438" i="16"/>
  <c r="M438" i="16"/>
  <c r="L438" i="16"/>
  <c r="K438" i="16"/>
  <c r="J438" i="16"/>
  <c r="A438" i="16"/>
  <c r="AC437" i="16"/>
  <c r="AA437" i="16"/>
  <c r="Y437" i="16"/>
  <c r="Z437" i="16" s="1"/>
  <c r="V437" i="16"/>
  <c r="P437" i="16"/>
  <c r="W437" i="16" s="1"/>
  <c r="A437" i="16"/>
  <c r="AC436" i="16"/>
  <c r="AA436" i="16"/>
  <c r="Y436" i="16"/>
  <c r="Z436" i="16" s="1"/>
  <c r="W436" i="16"/>
  <c r="V436" i="16"/>
  <c r="P436" i="16"/>
  <c r="A436" i="16"/>
  <c r="AC435" i="16"/>
  <c r="AA435" i="16"/>
  <c r="W435" i="16"/>
  <c r="V435" i="16"/>
  <c r="Y435" i="16" s="1"/>
  <c r="Z435" i="16" s="1"/>
  <c r="P435" i="16"/>
  <c r="A435" i="16"/>
  <c r="AC434" i="16"/>
  <c r="AA434" i="16"/>
  <c r="Y434" i="16"/>
  <c r="Z434" i="16" s="1"/>
  <c r="W434" i="16"/>
  <c r="V434" i="16"/>
  <c r="P434" i="16"/>
  <c r="A434" i="16"/>
  <c r="AC433" i="16"/>
  <c r="AA433" i="16"/>
  <c r="Y433" i="16"/>
  <c r="Z433" i="16" s="1"/>
  <c r="V433" i="16"/>
  <c r="P433" i="16"/>
  <c r="W433" i="16" s="1"/>
  <c r="A433" i="16"/>
  <c r="AC432" i="16"/>
  <c r="AA432" i="16"/>
  <c r="Y432" i="16"/>
  <c r="Z432" i="16" s="1"/>
  <c r="W432" i="16"/>
  <c r="V432" i="16"/>
  <c r="P432" i="16"/>
  <c r="A432" i="16"/>
  <c r="AC431" i="16"/>
  <c r="AA431" i="16"/>
  <c r="W431" i="16"/>
  <c r="V431" i="16"/>
  <c r="Y431" i="16" s="1"/>
  <c r="Z431" i="16" s="1"/>
  <c r="P431" i="16"/>
  <c r="A431" i="16"/>
  <c r="AA430" i="16"/>
  <c r="Z430" i="16"/>
  <c r="Y430" i="16"/>
  <c r="S430" i="16"/>
  <c r="R430" i="16"/>
  <c r="Q430" i="16"/>
  <c r="O430" i="16"/>
  <c r="N430" i="16"/>
  <c r="P430" i="16" s="1"/>
  <c r="M430" i="16"/>
  <c r="L430" i="16"/>
  <c r="K430" i="16"/>
  <c r="J430" i="16"/>
  <c r="A430" i="16"/>
  <c r="AC429" i="16"/>
  <c r="AA429" i="16"/>
  <c r="Y429" i="16"/>
  <c r="Z429" i="16" s="1"/>
  <c r="V429" i="16"/>
  <c r="P429" i="16"/>
  <c r="W429" i="16" s="1"/>
  <c r="A429" i="16"/>
  <c r="AC428" i="16"/>
  <c r="AA428" i="16"/>
  <c r="Z428" i="16"/>
  <c r="W428" i="16"/>
  <c r="V428" i="16"/>
  <c r="Y428" i="16" s="1"/>
  <c r="P428" i="16"/>
  <c r="A428" i="16"/>
  <c r="AA427" i="16"/>
  <c r="Z427" i="16"/>
  <c r="Y427" i="16"/>
  <c r="S427" i="16"/>
  <c r="R427" i="16"/>
  <c r="Q427" i="16"/>
  <c r="O427" i="16"/>
  <c r="N427" i="16"/>
  <c r="M427" i="16"/>
  <c r="L427" i="16"/>
  <c r="K427" i="16"/>
  <c r="J427" i="16"/>
  <c r="A427" i="16"/>
  <c r="AC426" i="16"/>
  <c r="AA426" i="16"/>
  <c r="Y426" i="16"/>
  <c r="Z426" i="16" s="1"/>
  <c r="V426" i="16"/>
  <c r="P426" i="16"/>
  <c r="W426" i="16" s="1"/>
  <c r="A426" i="16"/>
  <c r="AC425" i="16"/>
  <c r="AA425" i="16"/>
  <c r="Z425" i="16"/>
  <c r="W425" i="16"/>
  <c r="V425" i="16"/>
  <c r="Y425" i="16" s="1"/>
  <c r="P425" i="16"/>
  <c r="A425" i="16"/>
  <c r="AA424" i="16"/>
  <c r="Z424" i="16"/>
  <c r="Y424" i="16"/>
  <c r="S424" i="16"/>
  <c r="R424" i="16"/>
  <c r="Q424" i="16"/>
  <c r="O424" i="16"/>
  <c r="N424" i="16"/>
  <c r="M424" i="16"/>
  <c r="L424" i="16"/>
  <c r="K424" i="16"/>
  <c r="J424" i="16"/>
  <c r="A424" i="16"/>
  <c r="AC423" i="16"/>
  <c r="AA423" i="16"/>
  <c r="Z423" i="16"/>
  <c r="W423" i="16"/>
  <c r="V423" i="16"/>
  <c r="Y423" i="16" s="1"/>
  <c r="P423" i="16"/>
  <c r="A423" i="16"/>
  <c r="AC422" i="16"/>
  <c r="AA422" i="16"/>
  <c r="W422" i="16"/>
  <c r="V422" i="16"/>
  <c r="Y422" i="16" s="1"/>
  <c r="Z422" i="16" s="1"/>
  <c r="P422" i="16"/>
  <c r="A422" i="16"/>
  <c r="AC421" i="16"/>
  <c r="AA421" i="16"/>
  <c r="Y421" i="16"/>
  <c r="Z421" i="16" s="1"/>
  <c r="V421" i="16"/>
  <c r="P421" i="16"/>
  <c r="W421" i="16" s="1"/>
  <c r="A421" i="16"/>
  <c r="AC420" i="16"/>
  <c r="AA420" i="16"/>
  <c r="V420" i="16"/>
  <c r="Y420" i="16" s="1"/>
  <c r="Z420" i="16" s="1"/>
  <c r="P420" i="16"/>
  <c r="W420" i="16" s="1"/>
  <c r="A420" i="16"/>
  <c r="AC419" i="16"/>
  <c r="AA419" i="16"/>
  <c r="Z419" i="16"/>
  <c r="V419" i="16"/>
  <c r="Y419" i="16" s="1"/>
  <c r="P419" i="16"/>
  <c r="W419" i="16" s="1"/>
  <c r="A419" i="16"/>
  <c r="AC418" i="16"/>
  <c r="AA418" i="16"/>
  <c r="Z418" i="16"/>
  <c r="W418" i="16"/>
  <c r="V418" i="16"/>
  <c r="Y418" i="16" s="1"/>
  <c r="P418" i="16"/>
  <c r="A418" i="16"/>
  <c r="AC417" i="16"/>
  <c r="AA417" i="16"/>
  <c r="Y417" i="16"/>
  <c r="Z417" i="16" s="1"/>
  <c r="W417" i="16"/>
  <c r="V417" i="16"/>
  <c r="P417" i="16"/>
  <c r="A417" i="16"/>
  <c r="AC416" i="16"/>
  <c r="AA416" i="16"/>
  <c r="V416" i="16"/>
  <c r="Y416" i="16" s="1"/>
  <c r="Z416" i="16" s="1"/>
  <c r="P416" i="16"/>
  <c r="W416" i="16" s="1"/>
  <c r="A416" i="16"/>
  <c r="AC415" i="16"/>
  <c r="AA415" i="16"/>
  <c r="Z415" i="16"/>
  <c r="V415" i="16"/>
  <c r="Y415" i="16" s="1"/>
  <c r="P415" i="16"/>
  <c r="W415" i="16" s="1"/>
  <c r="A415" i="16"/>
  <c r="AA414" i="16"/>
  <c r="Y414" i="16"/>
  <c r="Z414" i="16" s="1"/>
  <c r="S414" i="16"/>
  <c r="R414" i="16"/>
  <c r="Q414" i="16"/>
  <c r="O414" i="16"/>
  <c r="N414" i="16"/>
  <c r="P414" i="16" s="1"/>
  <c r="M414" i="16"/>
  <c r="L414" i="16"/>
  <c r="K414" i="16"/>
  <c r="J414" i="16"/>
  <c r="A414" i="16"/>
  <c r="AC413" i="16"/>
  <c r="AA413" i="16"/>
  <c r="Z413" i="16"/>
  <c r="Y413" i="16"/>
  <c r="V413" i="16"/>
  <c r="P413" i="16"/>
  <c r="W413" i="16" s="1"/>
  <c r="A413" i="16"/>
  <c r="AA412" i="16"/>
  <c r="Y412" i="16"/>
  <c r="Z412" i="16" s="1"/>
  <c r="S412" i="16"/>
  <c r="R412" i="16"/>
  <c r="Q412" i="16"/>
  <c r="O412" i="16"/>
  <c r="P412" i="16" s="1"/>
  <c r="N412" i="16"/>
  <c r="M412" i="16"/>
  <c r="L412" i="16"/>
  <c r="K412" i="16"/>
  <c r="J412" i="16"/>
  <c r="A412" i="16"/>
  <c r="AC411" i="16"/>
  <c r="AA411" i="16"/>
  <c r="Y411" i="16"/>
  <c r="Z411" i="16" s="1"/>
  <c r="V411" i="16"/>
  <c r="P411" i="16"/>
  <c r="W411" i="16" s="1"/>
  <c r="A411" i="16"/>
  <c r="AA410" i="16"/>
  <c r="Y410" i="16"/>
  <c r="Z410" i="16" s="1"/>
  <c r="S410" i="16"/>
  <c r="R410" i="16"/>
  <c r="Q410" i="16"/>
  <c r="P410" i="16"/>
  <c r="O410" i="16"/>
  <c r="N410" i="16"/>
  <c r="M410" i="16"/>
  <c r="L410" i="16"/>
  <c r="K410" i="16"/>
  <c r="J410" i="16"/>
  <c r="A410" i="16"/>
  <c r="AC409" i="16"/>
  <c r="AA409" i="16"/>
  <c r="W409" i="16"/>
  <c r="V409" i="16"/>
  <c r="Y409" i="16" s="1"/>
  <c r="Z409" i="16" s="1"/>
  <c r="P409" i="16"/>
  <c r="A409" i="16"/>
  <c r="AC408" i="16"/>
  <c r="AA408" i="16"/>
  <c r="Y408" i="16"/>
  <c r="Z408" i="16" s="1"/>
  <c r="W408" i="16"/>
  <c r="V408" i="16"/>
  <c r="P408" i="16"/>
  <c r="A408" i="16"/>
  <c r="AA407" i="16"/>
  <c r="Y407" i="16"/>
  <c r="Z407" i="16" s="1"/>
  <c r="S407" i="16"/>
  <c r="R407" i="16"/>
  <c r="Q407" i="16"/>
  <c r="P407" i="16"/>
  <c r="O407" i="16"/>
  <c r="N407" i="16"/>
  <c r="M407" i="16"/>
  <c r="L407" i="16"/>
  <c r="K407" i="16"/>
  <c r="J407" i="16"/>
  <c r="A407" i="16"/>
  <c r="AC406" i="16"/>
  <c r="AA406" i="16"/>
  <c r="Z406" i="16"/>
  <c r="W406" i="16"/>
  <c r="V406" i="16"/>
  <c r="Y406" i="16" s="1"/>
  <c r="P406" i="16"/>
  <c r="A406" i="16"/>
  <c r="AC405" i="16"/>
  <c r="AA405" i="16"/>
  <c r="Y405" i="16"/>
  <c r="Z405" i="16" s="1"/>
  <c r="W405" i="16"/>
  <c r="V405" i="16"/>
  <c r="P405" i="16"/>
  <c r="A405" i="16"/>
  <c r="AC404" i="16"/>
  <c r="AA404" i="16"/>
  <c r="Y404" i="16"/>
  <c r="Z404" i="16" s="1"/>
  <c r="V404" i="16"/>
  <c r="P404" i="16"/>
  <c r="W404" i="16" s="1"/>
  <c r="A404" i="16"/>
  <c r="AC403" i="16"/>
  <c r="AA403" i="16"/>
  <c r="Y403" i="16"/>
  <c r="Z403" i="16" s="1"/>
  <c r="W403" i="16"/>
  <c r="V403" i="16"/>
  <c r="P403" i="16"/>
  <c r="A403" i="16"/>
  <c r="AC402" i="16"/>
  <c r="AA402" i="16"/>
  <c r="V402" i="16"/>
  <c r="Y402" i="16" s="1"/>
  <c r="Z402" i="16" s="1"/>
  <c r="P402" i="16"/>
  <c r="W402" i="16" s="1"/>
  <c r="A402" i="16"/>
  <c r="AC401" i="16"/>
  <c r="AA401" i="16"/>
  <c r="Y401" i="16"/>
  <c r="Z401" i="16" s="1"/>
  <c r="W401" i="16"/>
  <c r="V401" i="16"/>
  <c r="P401" i="16"/>
  <c r="A401" i="16"/>
  <c r="AC400" i="16"/>
  <c r="AA400" i="16"/>
  <c r="W400" i="16"/>
  <c r="V400" i="16"/>
  <c r="Y400" i="16" s="1"/>
  <c r="Z400" i="16" s="1"/>
  <c r="P400" i="16"/>
  <c r="A400" i="16"/>
  <c r="AC399" i="16"/>
  <c r="AA399" i="16"/>
  <c r="Y399" i="16"/>
  <c r="Z399" i="16" s="1"/>
  <c r="W399" i="16"/>
  <c r="V399" i="16"/>
  <c r="P399" i="16"/>
  <c r="A399" i="16"/>
  <c r="AC398" i="16"/>
  <c r="AA398" i="16"/>
  <c r="V398" i="16"/>
  <c r="Y398" i="16" s="1"/>
  <c r="Z398" i="16" s="1"/>
  <c r="P398" i="16"/>
  <c r="W398" i="16" s="1"/>
  <c r="A398" i="16"/>
  <c r="AC397" i="16"/>
  <c r="AA397" i="16"/>
  <c r="W397" i="16"/>
  <c r="V397" i="16"/>
  <c r="Y397" i="16" s="1"/>
  <c r="Z397" i="16" s="1"/>
  <c r="P397" i="16"/>
  <c r="A397" i="16"/>
  <c r="AC396" i="16"/>
  <c r="AA396" i="16"/>
  <c r="W396" i="16"/>
  <c r="V396" i="16"/>
  <c r="Y396" i="16" s="1"/>
  <c r="Z396" i="16" s="1"/>
  <c r="P396" i="16"/>
  <c r="A396" i="16"/>
  <c r="AA395" i="16"/>
  <c r="Z395" i="16"/>
  <c r="Y395" i="16"/>
  <c r="S395" i="16"/>
  <c r="R395" i="16"/>
  <c r="Q395" i="16"/>
  <c r="O395" i="16"/>
  <c r="N395" i="16"/>
  <c r="P395" i="16" s="1"/>
  <c r="M395" i="16"/>
  <c r="L395" i="16"/>
  <c r="K395" i="16"/>
  <c r="J395" i="16"/>
  <c r="A395" i="16"/>
  <c r="AC394" i="16"/>
  <c r="AA394" i="16"/>
  <c r="Z394" i="16"/>
  <c r="Y394" i="16"/>
  <c r="V394" i="16"/>
  <c r="P394" i="16"/>
  <c r="W394" i="16" s="1"/>
  <c r="A394" i="16"/>
  <c r="AA393" i="16"/>
  <c r="Y393" i="16"/>
  <c r="Z393" i="16" s="1"/>
  <c r="S393" i="16"/>
  <c r="R393" i="16"/>
  <c r="Q393" i="16"/>
  <c r="P393" i="16"/>
  <c r="O393" i="16"/>
  <c r="N393" i="16"/>
  <c r="M393" i="16"/>
  <c r="L393" i="16"/>
  <c r="K393" i="16"/>
  <c r="A393" i="16"/>
  <c r="AC392" i="16"/>
  <c r="AA392" i="16"/>
  <c r="V392" i="16"/>
  <c r="Y392" i="16" s="1"/>
  <c r="Z392" i="16" s="1"/>
  <c r="P392" i="16"/>
  <c r="W392" i="16" s="1"/>
  <c r="A392" i="16"/>
  <c r="AC391" i="16"/>
  <c r="AA391" i="16"/>
  <c r="Z391" i="16"/>
  <c r="V391" i="16"/>
  <c r="Y391" i="16" s="1"/>
  <c r="P391" i="16"/>
  <c r="W391" i="16" s="1"/>
  <c r="A391" i="16"/>
  <c r="AC390" i="16"/>
  <c r="AA390" i="16"/>
  <c r="Z390" i="16"/>
  <c r="W390" i="16"/>
  <c r="V390" i="16"/>
  <c r="Y390" i="16" s="1"/>
  <c r="P390" i="16"/>
  <c r="A390" i="16"/>
  <c r="AC389" i="16"/>
  <c r="AA389" i="16"/>
  <c r="P389" i="16"/>
  <c r="W389" i="16" s="1"/>
  <c r="J389" i="16"/>
  <c r="V389" i="16" s="1"/>
  <c r="Y389" i="16" s="1"/>
  <c r="Z389" i="16" s="1"/>
  <c r="A389" i="16"/>
  <c r="AC388" i="16"/>
  <c r="AA388" i="16"/>
  <c r="V388" i="16"/>
  <c r="Y388" i="16" s="1"/>
  <c r="Z388" i="16" s="1"/>
  <c r="P388" i="16"/>
  <c r="W388" i="16" s="1"/>
  <c r="A388" i="16"/>
  <c r="AC387" i="16"/>
  <c r="AA387" i="16"/>
  <c r="Z387" i="16"/>
  <c r="W387" i="16"/>
  <c r="V387" i="16"/>
  <c r="Y387" i="16" s="1"/>
  <c r="P387" i="16"/>
  <c r="A387" i="16"/>
  <c r="AA386" i="16"/>
  <c r="Z386" i="16"/>
  <c r="Y386" i="16"/>
  <c r="S386" i="16"/>
  <c r="R386" i="16"/>
  <c r="Q386" i="16"/>
  <c r="O386" i="16"/>
  <c r="N386" i="16"/>
  <c r="M386" i="16"/>
  <c r="L386" i="16"/>
  <c r="K386" i="16"/>
  <c r="J386" i="16"/>
  <c r="A386" i="16"/>
  <c r="AC385" i="16"/>
  <c r="AA385" i="16"/>
  <c r="Y385" i="16"/>
  <c r="Z385" i="16" s="1"/>
  <c r="W385" i="16"/>
  <c r="V385" i="16"/>
  <c r="P385" i="16"/>
  <c r="A385" i="16"/>
  <c r="AC384" i="16"/>
  <c r="AA384" i="16"/>
  <c r="W384" i="16"/>
  <c r="V384" i="16"/>
  <c r="Y384" i="16" s="1"/>
  <c r="Z384" i="16" s="1"/>
  <c r="P384" i="16"/>
  <c r="A384" i="16"/>
  <c r="AC383" i="16"/>
  <c r="AA383" i="16"/>
  <c r="Y383" i="16"/>
  <c r="Z383" i="16" s="1"/>
  <c r="W383" i="16"/>
  <c r="V383" i="16"/>
  <c r="P383" i="16"/>
  <c r="A383" i="16"/>
  <c r="AC382" i="16"/>
  <c r="AA382" i="16"/>
  <c r="V382" i="16"/>
  <c r="Y382" i="16" s="1"/>
  <c r="Z382" i="16" s="1"/>
  <c r="P382" i="16"/>
  <c r="W382" i="16" s="1"/>
  <c r="A382" i="16"/>
  <c r="AA381" i="16"/>
  <c r="Z381" i="16"/>
  <c r="Y381" i="16"/>
  <c r="S381" i="16"/>
  <c r="R381" i="16"/>
  <c r="Q381" i="16"/>
  <c r="O381" i="16"/>
  <c r="P381" i="16" s="1"/>
  <c r="N381" i="16"/>
  <c r="M381" i="16"/>
  <c r="L381" i="16"/>
  <c r="K381" i="16"/>
  <c r="J381" i="16"/>
  <c r="A381" i="16"/>
  <c r="AC380" i="16"/>
  <c r="AA380" i="16"/>
  <c r="Y380" i="16"/>
  <c r="Z380" i="16" s="1"/>
  <c r="V380" i="16"/>
  <c r="P380" i="16"/>
  <c r="W380" i="16" s="1"/>
  <c r="A380" i="16"/>
  <c r="AC379" i="16"/>
  <c r="AA379" i="16"/>
  <c r="V379" i="16"/>
  <c r="Y379" i="16" s="1"/>
  <c r="Z379" i="16" s="1"/>
  <c r="P379" i="16"/>
  <c r="W379" i="16" s="1"/>
  <c r="A379" i="16"/>
  <c r="AC378" i="16"/>
  <c r="AA378" i="16"/>
  <c r="Z378" i="16"/>
  <c r="Y378" i="16"/>
  <c r="V378" i="16"/>
  <c r="P378" i="16"/>
  <c r="W378" i="16" s="1"/>
  <c r="A378" i="16"/>
  <c r="AC377" i="16"/>
  <c r="AA377" i="16"/>
  <c r="Z377" i="16"/>
  <c r="W377" i="16"/>
  <c r="V377" i="16"/>
  <c r="Y377" i="16" s="1"/>
  <c r="P377" i="16"/>
  <c r="A377" i="16"/>
  <c r="AC376" i="16"/>
  <c r="AA376" i="16"/>
  <c r="Y376" i="16"/>
  <c r="Z376" i="16" s="1"/>
  <c r="V376" i="16"/>
  <c r="P376" i="16"/>
  <c r="W376" i="16" s="1"/>
  <c r="A376" i="16"/>
  <c r="AC375" i="16"/>
  <c r="AA375" i="16"/>
  <c r="Y375" i="16"/>
  <c r="Z375" i="16" s="1"/>
  <c r="V375" i="16"/>
  <c r="P375" i="16"/>
  <c r="W375" i="16" s="1"/>
  <c r="A375" i="16"/>
  <c r="AC374" i="16"/>
  <c r="AA374" i="16"/>
  <c r="V374" i="16"/>
  <c r="Y374" i="16" s="1"/>
  <c r="Z374" i="16" s="1"/>
  <c r="P374" i="16"/>
  <c r="W374" i="16" s="1"/>
  <c r="A374" i="16"/>
  <c r="AC373" i="16"/>
  <c r="AA373" i="16"/>
  <c r="Z373" i="16"/>
  <c r="W373" i="16"/>
  <c r="V373" i="16"/>
  <c r="Y373" i="16" s="1"/>
  <c r="P373" i="16"/>
  <c r="A373" i="16"/>
  <c r="AC372" i="16"/>
  <c r="AA372" i="16"/>
  <c r="Y372" i="16"/>
  <c r="Z372" i="16" s="1"/>
  <c r="V372" i="16"/>
  <c r="P372" i="16"/>
  <c r="W372" i="16" s="1"/>
  <c r="A372" i="16"/>
  <c r="AC371" i="16"/>
  <c r="AA371" i="16"/>
  <c r="Z371" i="16"/>
  <c r="Y371" i="16"/>
  <c r="V371" i="16"/>
  <c r="P371" i="16"/>
  <c r="W371" i="16" s="1"/>
  <c r="A371" i="16"/>
  <c r="AC370" i="16"/>
  <c r="AA370" i="16"/>
  <c r="Y370" i="16"/>
  <c r="Z370" i="16" s="1"/>
  <c r="V370" i="16"/>
  <c r="P370" i="16"/>
  <c r="W370" i="16" s="1"/>
  <c r="A370" i="16"/>
  <c r="AA369" i="16"/>
  <c r="Z369" i="16"/>
  <c r="Y369" i="16"/>
  <c r="S369" i="16"/>
  <c r="R369" i="16"/>
  <c r="Q369" i="16"/>
  <c r="P369" i="16"/>
  <c r="O369" i="16"/>
  <c r="N369" i="16"/>
  <c r="M369" i="16"/>
  <c r="L369" i="16"/>
  <c r="K369" i="16"/>
  <c r="J369" i="16"/>
  <c r="A369" i="16"/>
  <c r="AC368" i="16"/>
  <c r="AA368" i="16"/>
  <c r="Y368" i="16"/>
  <c r="Z368" i="16" s="1"/>
  <c r="V368" i="16"/>
  <c r="P368" i="16"/>
  <c r="W368" i="16" s="1"/>
  <c r="A368" i="16"/>
  <c r="AC367" i="16"/>
  <c r="AA367" i="16"/>
  <c r="W367" i="16"/>
  <c r="V367" i="16"/>
  <c r="Y367" i="16" s="1"/>
  <c r="Z367" i="16" s="1"/>
  <c r="P367" i="16"/>
  <c r="A367" i="16"/>
  <c r="AC366" i="16"/>
  <c r="AA366" i="16"/>
  <c r="W366" i="16"/>
  <c r="V366" i="16"/>
  <c r="Y366" i="16" s="1"/>
  <c r="Z366" i="16" s="1"/>
  <c r="P366" i="16"/>
  <c r="A366" i="16"/>
  <c r="AA365" i="16"/>
  <c r="Z365" i="16"/>
  <c r="Y365" i="16"/>
  <c r="S365" i="16"/>
  <c r="R365" i="16"/>
  <c r="Q365" i="16"/>
  <c r="O365" i="16"/>
  <c r="N365" i="16"/>
  <c r="P365" i="16" s="1"/>
  <c r="M365" i="16"/>
  <c r="L365" i="16"/>
  <c r="K365" i="16"/>
  <c r="J365" i="16"/>
  <c r="A365" i="16"/>
  <c r="AC364" i="16"/>
  <c r="AA364" i="16"/>
  <c r="Z364" i="16"/>
  <c r="Y364" i="16"/>
  <c r="W364" i="16"/>
  <c r="V364" i="16"/>
  <c r="P364" i="16"/>
  <c r="A364" i="16"/>
  <c r="AA363" i="16"/>
  <c r="Y363" i="16"/>
  <c r="Z363" i="16" s="1"/>
  <c r="S363" i="16"/>
  <c r="R363" i="16"/>
  <c r="Q363" i="16"/>
  <c r="P363" i="16"/>
  <c r="O363" i="16"/>
  <c r="N363" i="16"/>
  <c r="M363" i="16"/>
  <c r="L363" i="16"/>
  <c r="K363" i="16"/>
  <c r="J363" i="16"/>
  <c r="A363" i="16"/>
  <c r="AC362" i="16"/>
  <c r="AA362" i="16"/>
  <c r="V362" i="16"/>
  <c r="Y362" i="16" s="1"/>
  <c r="Z362" i="16" s="1"/>
  <c r="P362" i="16"/>
  <c r="W362" i="16" s="1"/>
  <c r="A362" i="16"/>
  <c r="AC361" i="16"/>
  <c r="AA361" i="16"/>
  <c r="V361" i="16"/>
  <c r="Y361" i="16" s="1"/>
  <c r="Z361" i="16" s="1"/>
  <c r="P361" i="16"/>
  <c r="W361" i="16" s="1"/>
  <c r="A361" i="16"/>
  <c r="AA360" i="16"/>
  <c r="Y360" i="16"/>
  <c r="Z360" i="16" s="1"/>
  <c r="S360" i="16"/>
  <c r="R360" i="16"/>
  <c r="Q360" i="16"/>
  <c r="P360" i="16"/>
  <c r="O360" i="16"/>
  <c r="N360" i="16"/>
  <c r="M360" i="16"/>
  <c r="L360" i="16"/>
  <c r="K360" i="16"/>
  <c r="J360" i="16"/>
  <c r="A360" i="16"/>
  <c r="AC359" i="16"/>
  <c r="AA359" i="16"/>
  <c r="Y359" i="16"/>
  <c r="Z359" i="16" s="1"/>
  <c r="V359" i="16"/>
  <c r="P359" i="16"/>
  <c r="W359" i="16" s="1"/>
  <c r="A359" i="16"/>
  <c r="AC358" i="16"/>
  <c r="AA358" i="16"/>
  <c r="Y358" i="16"/>
  <c r="Z358" i="16" s="1"/>
  <c r="W358" i="16"/>
  <c r="V358" i="16"/>
  <c r="P358" i="16"/>
  <c r="A358" i="16"/>
  <c r="AC357" i="16"/>
  <c r="AA357" i="16"/>
  <c r="Z357" i="16"/>
  <c r="W357" i="16"/>
  <c r="V357" i="16"/>
  <c r="Y357" i="16" s="1"/>
  <c r="P357" i="16"/>
  <c r="A357" i="16"/>
  <c r="AC356" i="16"/>
  <c r="AA356" i="16"/>
  <c r="Y356" i="16"/>
  <c r="Z356" i="16" s="1"/>
  <c r="W356" i="16"/>
  <c r="V356" i="16"/>
  <c r="P356" i="16"/>
  <c r="A356" i="16"/>
  <c r="AC355" i="16"/>
  <c r="AA355" i="16"/>
  <c r="Y355" i="16"/>
  <c r="Z355" i="16" s="1"/>
  <c r="V355" i="16"/>
  <c r="P355" i="16"/>
  <c r="W355" i="16" s="1"/>
  <c r="A355" i="16"/>
  <c r="AA354" i="16"/>
  <c r="W354" i="16"/>
  <c r="V354" i="16"/>
  <c r="Y354" i="16" s="1"/>
  <c r="Z354" i="16" s="1"/>
  <c r="P354" i="16"/>
  <c r="N354" i="16"/>
  <c r="AC354" i="16" s="1"/>
  <c r="A354" i="16"/>
  <c r="AA353" i="16"/>
  <c r="Z353" i="16"/>
  <c r="Y353" i="16"/>
  <c r="S353" i="16"/>
  <c r="R353" i="16"/>
  <c r="Q353" i="16"/>
  <c r="O353" i="16"/>
  <c r="N353" i="16"/>
  <c r="M353" i="16"/>
  <c r="L353" i="16"/>
  <c r="K353" i="16"/>
  <c r="J353" i="16"/>
  <c r="A353" i="16"/>
  <c r="AC352" i="16"/>
  <c r="AA352" i="16"/>
  <c r="V352" i="16"/>
  <c r="Y352" i="16" s="1"/>
  <c r="Z352" i="16" s="1"/>
  <c r="P352" i="16"/>
  <c r="W352" i="16" s="1"/>
  <c r="A352" i="16"/>
  <c r="AA351" i="16"/>
  <c r="Z351" i="16"/>
  <c r="Y351" i="16"/>
  <c r="S351" i="16"/>
  <c r="R351" i="16"/>
  <c r="Q351" i="16"/>
  <c r="P351" i="16"/>
  <c r="O351" i="16"/>
  <c r="N351" i="16"/>
  <c r="M351" i="16"/>
  <c r="L351" i="16"/>
  <c r="K351" i="16"/>
  <c r="J351" i="16"/>
  <c r="A351" i="16"/>
  <c r="AC350" i="16"/>
  <c r="AA350" i="16"/>
  <c r="Y350" i="16"/>
  <c r="Z350" i="16" s="1"/>
  <c r="V350" i="16"/>
  <c r="P350" i="16"/>
  <c r="W350" i="16" s="1"/>
  <c r="A350" i="16"/>
  <c r="AC349" i="16"/>
  <c r="AA349" i="16"/>
  <c r="W349" i="16"/>
  <c r="V349" i="16"/>
  <c r="Y349" i="16" s="1"/>
  <c r="Z349" i="16" s="1"/>
  <c r="P349" i="16"/>
  <c r="A349" i="16"/>
  <c r="AC348" i="16"/>
  <c r="AA348" i="16"/>
  <c r="W348" i="16"/>
  <c r="V348" i="16"/>
  <c r="Y348" i="16" s="1"/>
  <c r="Z348" i="16" s="1"/>
  <c r="P348" i="16"/>
  <c r="A348" i="16"/>
  <c r="AC347" i="16"/>
  <c r="AA347" i="16"/>
  <c r="Y347" i="16"/>
  <c r="Z347" i="16" s="1"/>
  <c r="W347" i="16"/>
  <c r="V347" i="16"/>
  <c r="P347" i="16"/>
  <c r="A347" i="16"/>
  <c r="AC346" i="16"/>
  <c r="AA346" i="16"/>
  <c r="Y346" i="16"/>
  <c r="Z346" i="16" s="1"/>
  <c r="V346" i="16"/>
  <c r="P346" i="16"/>
  <c r="W346" i="16" s="1"/>
  <c r="A346" i="16"/>
  <c r="AC345" i="16"/>
  <c r="AA345" i="16"/>
  <c r="Y345" i="16"/>
  <c r="Z345" i="16" s="1"/>
  <c r="W345" i="16"/>
  <c r="V345" i="16"/>
  <c r="P345" i="16"/>
  <c r="A345" i="16"/>
  <c r="AC344" i="16"/>
  <c r="AA344" i="16"/>
  <c r="W344" i="16"/>
  <c r="V344" i="16"/>
  <c r="Y344" i="16" s="1"/>
  <c r="Z344" i="16" s="1"/>
  <c r="P344" i="16"/>
  <c r="A344" i="16"/>
  <c r="AC343" i="16"/>
  <c r="AA343" i="16"/>
  <c r="Y343" i="16"/>
  <c r="Z343" i="16" s="1"/>
  <c r="W343" i="16"/>
  <c r="V343" i="16"/>
  <c r="P343" i="16"/>
  <c r="A343" i="16"/>
  <c r="AC342" i="16"/>
  <c r="AA342" i="16"/>
  <c r="V342" i="16"/>
  <c r="Y342" i="16" s="1"/>
  <c r="Z342" i="16" s="1"/>
  <c r="P342" i="16"/>
  <c r="W342" i="16" s="1"/>
  <c r="A342" i="16"/>
  <c r="AC341" i="16"/>
  <c r="AA341" i="16"/>
  <c r="Y341" i="16"/>
  <c r="Z341" i="16" s="1"/>
  <c r="W341" i="16"/>
  <c r="V341" i="16"/>
  <c r="P341" i="16"/>
  <c r="A341" i="16"/>
  <c r="AC340" i="16"/>
  <c r="AA340" i="16"/>
  <c r="W340" i="16"/>
  <c r="V340" i="16"/>
  <c r="Y340" i="16" s="1"/>
  <c r="Z340" i="16" s="1"/>
  <c r="P340" i="16"/>
  <c r="A340" i="16"/>
  <c r="AC339" i="16"/>
  <c r="AA339" i="16"/>
  <c r="Y339" i="16"/>
  <c r="Z339" i="16" s="1"/>
  <c r="W339" i="16"/>
  <c r="V339" i="16"/>
  <c r="P339" i="16"/>
  <c r="A339" i="16"/>
  <c r="AC338" i="16"/>
  <c r="AA338" i="16"/>
  <c r="V338" i="16"/>
  <c r="Y338" i="16" s="1"/>
  <c r="Z338" i="16" s="1"/>
  <c r="P338" i="16"/>
  <c r="W338" i="16" s="1"/>
  <c r="A338" i="16"/>
  <c r="AC337" i="16"/>
  <c r="AA337" i="16"/>
  <c r="W337" i="16"/>
  <c r="V337" i="16"/>
  <c r="Y337" i="16" s="1"/>
  <c r="Z337" i="16" s="1"/>
  <c r="P337" i="16"/>
  <c r="A337" i="16"/>
  <c r="AC336" i="16"/>
  <c r="AA336" i="16"/>
  <c r="W336" i="16"/>
  <c r="V336" i="16"/>
  <c r="Y336" i="16" s="1"/>
  <c r="Z336" i="16" s="1"/>
  <c r="P336" i="16"/>
  <c r="A336" i="16"/>
  <c r="AC335" i="16"/>
  <c r="AA335" i="16"/>
  <c r="Y335" i="16"/>
  <c r="Z335" i="16" s="1"/>
  <c r="W335" i="16"/>
  <c r="V335" i="16"/>
  <c r="P335" i="16"/>
  <c r="A335" i="16"/>
  <c r="AA334" i="16"/>
  <c r="Y334" i="16"/>
  <c r="Z334" i="16" s="1"/>
  <c r="S334" i="16"/>
  <c r="R334" i="16"/>
  <c r="Q334" i="16"/>
  <c r="O334" i="16"/>
  <c r="N334" i="16"/>
  <c r="P334" i="16" s="1"/>
  <c r="M334" i="16"/>
  <c r="L334" i="16"/>
  <c r="K334" i="16"/>
  <c r="J334" i="16"/>
  <c r="A334" i="16"/>
  <c r="AC333" i="16"/>
  <c r="AA333" i="16"/>
  <c r="Z333" i="16"/>
  <c r="W333" i="16"/>
  <c r="V333" i="16"/>
  <c r="Y333" i="16" s="1"/>
  <c r="P333" i="16"/>
  <c r="A333" i="16"/>
  <c r="AC332" i="16"/>
  <c r="AA332" i="16"/>
  <c r="Y332" i="16"/>
  <c r="Z332" i="16" s="1"/>
  <c r="V332" i="16"/>
  <c r="P332" i="16"/>
  <c r="W332" i="16" s="1"/>
  <c r="A332" i="16"/>
  <c r="AC331" i="16"/>
  <c r="AA331" i="16"/>
  <c r="Z331" i="16"/>
  <c r="Y331" i="16"/>
  <c r="V331" i="16"/>
  <c r="P331" i="16"/>
  <c r="W331" i="16" s="1"/>
  <c r="A331" i="16"/>
  <c r="AA330" i="16"/>
  <c r="Y330" i="16"/>
  <c r="Z330" i="16" s="1"/>
  <c r="S330" i="16"/>
  <c r="R330" i="16"/>
  <c r="Q330" i="16"/>
  <c r="O330" i="16"/>
  <c r="P330" i="16" s="1"/>
  <c r="N330" i="16"/>
  <c r="M330" i="16"/>
  <c r="L330" i="16"/>
  <c r="K330" i="16"/>
  <c r="J330" i="16"/>
  <c r="A330" i="16"/>
  <c r="AC329" i="16"/>
  <c r="AA329" i="16"/>
  <c r="Y329" i="16"/>
  <c r="Z329" i="16" s="1"/>
  <c r="V329" i="16"/>
  <c r="P329" i="16"/>
  <c r="W329" i="16" s="1"/>
  <c r="A329" i="16"/>
  <c r="AC328" i="16"/>
  <c r="AA328" i="16"/>
  <c r="Z328" i="16"/>
  <c r="V328" i="16"/>
  <c r="Y328" i="16" s="1"/>
  <c r="P328" i="16"/>
  <c r="W328" i="16" s="1"/>
  <c r="A328" i="16"/>
  <c r="AC327" i="16"/>
  <c r="AA327" i="16"/>
  <c r="Z327" i="16"/>
  <c r="W327" i="16"/>
  <c r="V327" i="16"/>
  <c r="Y327" i="16" s="1"/>
  <c r="P327" i="16"/>
  <c r="A327" i="16"/>
  <c r="AA326" i="16"/>
  <c r="Z326" i="16"/>
  <c r="Y326" i="16"/>
  <c r="S326" i="16"/>
  <c r="R326" i="16"/>
  <c r="Q326" i="16"/>
  <c r="O326" i="16"/>
  <c r="N326" i="16"/>
  <c r="P326" i="16" s="1"/>
  <c r="M326" i="16"/>
  <c r="L326" i="16"/>
  <c r="K326" i="16"/>
  <c r="J326" i="16"/>
  <c r="A326" i="16"/>
  <c r="AC325" i="16"/>
  <c r="AA325" i="16"/>
  <c r="Z325" i="16"/>
  <c r="Y325" i="16"/>
  <c r="V325" i="16"/>
  <c r="P325" i="16"/>
  <c r="W325" i="16" s="1"/>
  <c r="A325" i="16"/>
  <c r="AC324" i="16"/>
  <c r="AA324" i="16"/>
  <c r="Z324" i="16"/>
  <c r="Y324" i="16"/>
  <c r="V324" i="16"/>
  <c r="P324" i="16"/>
  <c r="W324" i="16" s="1"/>
  <c r="A324" i="16"/>
  <c r="AA323" i="16"/>
  <c r="Y323" i="16"/>
  <c r="Z323" i="16" s="1"/>
  <c r="S323" i="16"/>
  <c r="R323" i="16"/>
  <c r="Q323" i="16"/>
  <c r="P323" i="16"/>
  <c r="O323" i="16"/>
  <c r="N323" i="16"/>
  <c r="M323" i="16"/>
  <c r="L323" i="16"/>
  <c r="K323" i="16"/>
  <c r="J323" i="16"/>
  <c r="A323" i="16"/>
  <c r="AC322" i="16"/>
  <c r="AA322" i="16"/>
  <c r="V322" i="16"/>
  <c r="Y322" i="16" s="1"/>
  <c r="Z322" i="16" s="1"/>
  <c r="P322" i="16"/>
  <c r="W322" i="16" s="1"/>
  <c r="A322" i="16"/>
  <c r="AC321" i="16"/>
  <c r="AA321" i="16"/>
  <c r="Z321" i="16"/>
  <c r="V321" i="16"/>
  <c r="Y321" i="16" s="1"/>
  <c r="P321" i="16"/>
  <c r="W321" i="16" s="1"/>
  <c r="A321" i="16"/>
  <c r="AA320" i="16"/>
  <c r="Y320" i="16"/>
  <c r="Z320" i="16" s="1"/>
  <c r="S320" i="16"/>
  <c r="R320" i="16"/>
  <c r="Q320" i="16"/>
  <c r="P320" i="16"/>
  <c r="O320" i="16"/>
  <c r="N320" i="16"/>
  <c r="M320" i="16"/>
  <c r="L320" i="16"/>
  <c r="K320" i="16"/>
  <c r="J320" i="16"/>
  <c r="A320" i="16"/>
  <c r="AC319" i="16"/>
  <c r="AA319" i="16"/>
  <c r="Z319" i="16"/>
  <c r="Y319" i="16"/>
  <c r="V319" i="16"/>
  <c r="P319" i="16"/>
  <c r="W319" i="16" s="1"/>
  <c r="A319" i="16"/>
  <c r="AC318" i="16"/>
  <c r="AA318" i="16"/>
  <c r="Z318" i="16"/>
  <c r="Y318" i="16"/>
  <c r="W318" i="16"/>
  <c r="V318" i="16"/>
  <c r="P318" i="16"/>
  <c r="A318" i="16"/>
  <c r="AC317" i="16"/>
  <c r="AA317" i="16"/>
  <c r="Z317" i="16"/>
  <c r="W317" i="16"/>
  <c r="V317" i="16"/>
  <c r="Y317" i="16" s="1"/>
  <c r="P317" i="16"/>
  <c r="A317" i="16"/>
  <c r="AC316" i="16"/>
  <c r="AA316" i="16"/>
  <c r="Y316" i="16"/>
  <c r="Z316" i="16" s="1"/>
  <c r="W316" i="16"/>
  <c r="V316" i="16"/>
  <c r="P316" i="16"/>
  <c r="A316" i="16"/>
  <c r="AC315" i="16"/>
  <c r="AA315" i="16"/>
  <c r="Z315" i="16"/>
  <c r="Y315" i="16"/>
  <c r="V315" i="16"/>
  <c r="P315" i="16"/>
  <c r="W315" i="16" s="1"/>
  <c r="A315" i="16"/>
  <c r="AC314" i="16"/>
  <c r="AA314" i="16"/>
  <c r="Z314" i="16"/>
  <c r="Y314" i="16"/>
  <c r="W314" i="16"/>
  <c r="V314" i="16"/>
  <c r="P314" i="16"/>
  <c r="A314" i="16"/>
  <c r="AC313" i="16"/>
  <c r="AA313" i="16"/>
  <c r="Z313" i="16"/>
  <c r="W313" i="16"/>
  <c r="V313" i="16"/>
  <c r="Y313" i="16" s="1"/>
  <c r="P313" i="16"/>
  <c r="A313" i="16"/>
  <c r="AA312" i="16"/>
  <c r="Z312" i="16"/>
  <c r="Y312" i="16"/>
  <c r="S312" i="16"/>
  <c r="R312" i="16"/>
  <c r="Q312" i="16"/>
  <c r="O312" i="16"/>
  <c r="N312" i="16"/>
  <c r="M312" i="16"/>
  <c r="L312" i="16"/>
  <c r="K312" i="16"/>
  <c r="J312" i="16"/>
  <c r="A312" i="16"/>
  <c r="AC311" i="16"/>
  <c r="AA311" i="16"/>
  <c r="V311" i="16"/>
  <c r="Y311" i="16" s="1"/>
  <c r="Z311" i="16" s="1"/>
  <c r="P311" i="16"/>
  <c r="W311" i="16" s="1"/>
  <c r="A311" i="16"/>
  <c r="AC310" i="16"/>
  <c r="AA310" i="16"/>
  <c r="W310" i="16"/>
  <c r="V310" i="16"/>
  <c r="Y310" i="16" s="1"/>
  <c r="Z310" i="16" s="1"/>
  <c r="P310" i="16"/>
  <c r="A310" i="16"/>
  <c r="AC309" i="16"/>
  <c r="AA309" i="16"/>
  <c r="Y309" i="16"/>
  <c r="Z309" i="16" s="1"/>
  <c r="V309" i="16"/>
  <c r="P309" i="16"/>
  <c r="W309" i="16" s="1"/>
  <c r="A309" i="16"/>
  <c r="AC308" i="16"/>
  <c r="AA308" i="16"/>
  <c r="Z308" i="16"/>
  <c r="V308" i="16"/>
  <c r="Y308" i="16" s="1"/>
  <c r="P308" i="16"/>
  <c r="W308" i="16" s="1"/>
  <c r="A308" i="16"/>
  <c r="AC307" i="16"/>
  <c r="AA307" i="16"/>
  <c r="V307" i="16"/>
  <c r="Y307" i="16" s="1"/>
  <c r="Z307" i="16" s="1"/>
  <c r="P307" i="16"/>
  <c r="W307" i="16" s="1"/>
  <c r="A307" i="16"/>
  <c r="AC306" i="16"/>
  <c r="AA306" i="16"/>
  <c r="Z306" i="16"/>
  <c r="W306" i="16"/>
  <c r="V306" i="16"/>
  <c r="Y306" i="16" s="1"/>
  <c r="P306" i="16"/>
  <c r="A306" i="16"/>
  <c r="AC305" i="16"/>
  <c r="AA305" i="16"/>
  <c r="Y305" i="16"/>
  <c r="Z305" i="16" s="1"/>
  <c r="V305" i="16"/>
  <c r="P305" i="16"/>
  <c r="W305" i="16" s="1"/>
  <c r="A305" i="16"/>
  <c r="AC304" i="16"/>
  <c r="AA304" i="16"/>
  <c r="Z304" i="16"/>
  <c r="V304" i="16"/>
  <c r="Y304" i="16" s="1"/>
  <c r="P304" i="16"/>
  <c r="W304" i="16" s="1"/>
  <c r="A304" i="16"/>
  <c r="AC303" i="16"/>
  <c r="AA303" i="16"/>
  <c r="V303" i="16"/>
  <c r="Y303" i="16" s="1"/>
  <c r="Z303" i="16" s="1"/>
  <c r="P303" i="16"/>
  <c r="W303" i="16" s="1"/>
  <c r="A303" i="16"/>
  <c r="AC302" i="16"/>
  <c r="AA302" i="16"/>
  <c r="W302" i="16"/>
  <c r="V302" i="16"/>
  <c r="Y302" i="16" s="1"/>
  <c r="Z302" i="16" s="1"/>
  <c r="P302" i="16"/>
  <c r="A302" i="16"/>
  <c r="AC301" i="16"/>
  <c r="AA301" i="16"/>
  <c r="Y301" i="16"/>
  <c r="Z301" i="16" s="1"/>
  <c r="V301" i="16"/>
  <c r="P301" i="16"/>
  <c r="W301" i="16" s="1"/>
  <c r="A301" i="16"/>
  <c r="AA300" i="16"/>
  <c r="Y300" i="16"/>
  <c r="Z300" i="16" s="1"/>
  <c r="S300" i="16"/>
  <c r="R300" i="16"/>
  <c r="Q300" i="16"/>
  <c r="P300" i="16"/>
  <c r="O300" i="16"/>
  <c r="N300" i="16"/>
  <c r="M300" i="16"/>
  <c r="L300" i="16"/>
  <c r="K300" i="16"/>
  <c r="J300" i="16"/>
  <c r="A300" i="16"/>
  <c r="AC299" i="16"/>
  <c r="AA299" i="16"/>
  <c r="W299" i="16"/>
  <c r="V299" i="16"/>
  <c r="Y299" i="16" s="1"/>
  <c r="Z299" i="16" s="1"/>
  <c r="P299" i="16"/>
  <c r="A299" i="16"/>
  <c r="AA298" i="16"/>
  <c r="Z298" i="16"/>
  <c r="Y298" i="16"/>
  <c r="S298" i="16"/>
  <c r="R298" i="16"/>
  <c r="Q298" i="16"/>
  <c r="O298" i="16"/>
  <c r="N298" i="16"/>
  <c r="M298" i="16"/>
  <c r="L298" i="16"/>
  <c r="K298" i="16"/>
  <c r="J298" i="16"/>
  <c r="A298" i="16"/>
  <c r="AC297" i="16"/>
  <c r="AA297" i="16"/>
  <c r="Y297" i="16"/>
  <c r="Z297" i="16" s="1"/>
  <c r="W297" i="16"/>
  <c r="V297" i="16"/>
  <c r="P297" i="16"/>
  <c r="A297" i="16"/>
  <c r="AA296" i="16"/>
  <c r="Z296" i="16"/>
  <c r="Y296" i="16"/>
  <c r="S296" i="16"/>
  <c r="R296" i="16"/>
  <c r="Q296" i="16"/>
  <c r="O296" i="16"/>
  <c r="N296" i="16"/>
  <c r="P296" i="16" s="1"/>
  <c r="M296" i="16"/>
  <c r="L296" i="16"/>
  <c r="K296" i="16"/>
  <c r="J296" i="16"/>
  <c r="A296" i="16"/>
  <c r="AC295" i="16"/>
  <c r="AA295" i="16"/>
  <c r="V295" i="16"/>
  <c r="Y295" i="16" s="1"/>
  <c r="Z295" i="16" s="1"/>
  <c r="P295" i="16"/>
  <c r="W295" i="16" s="1"/>
  <c r="A295" i="16"/>
  <c r="AC294" i="16"/>
  <c r="AA294" i="16"/>
  <c r="Z294" i="16"/>
  <c r="V294" i="16"/>
  <c r="Y294" i="16" s="1"/>
  <c r="P294" i="16"/>
  <c r="W294" i="16" s="1"/>
  <c r="A294" i="16"/>
  <c r="AC293" i="16"/>
  <c r="AA293" i="16"/>
  <c r="W293" i="16"/>
  <c r="V293" i="16"/>
  <c r="Y293" i="16" s="1"/>
  <c r="Z293" i="16" s="1"/>
  <c r="P293" i="16"/>
  <c r="A293" i="16"/>
  <c r="AC292" i="16"/>
  <c r="AA292" i="16"/>
  <c r="Y292" i="16"/>
  <c r="Z292" i="16" s="1"/>
  <c r="V292" i="16"/>
  <c r="P292" i="16"/>
  <c r="W292" i="16" s="1"/>
  <c r="A292" i="16"/>
  <c r="AA291" i="16"/>
  <c r="Y291" i="16"/>
  <c r="Z291" i="16" s="1"/>
  <c r="S291" i="16"/>
  <c r="R291" i="16"/>
  <c r="Q291" i="16"/>
  <c r="O291" i="16"/>
  <c r="P291" i="16" s="1"/>
  <c r="N291" i="16"/>
  <c r="M291" i="16"/>
  <c r="L291" i="16"/>
  <c r="K291" i="16"/>
  <c r="J291" i="16"/>
  <c r="A291" i="16"/>
  <c r="AC290" i="16"/>
  <c r="AA290" i="16"/>
  <c r="W290" i="16"/>
  <c r="V290" i="16"/>
  <c r="Y290" i="16" s="1"/>
  <c r="Z290" i="16" s="1"/>
  <c r="P290" i="16"/>
  <c r="A290" i="16"/>
  <c r="AC289" i="16"/>
  <c r="AA289" i="16"/>
  <c r="Y289" i="16"/>
  <c r="Z289" i="16" s="1"/>
  <c r="W289" i="16"/>
  <c r="V289" i="16"/>
  <c r="P289" i="16"/>
  <c r="A289" i="16"/>
  <c r="AC288" i="16"/>
  <c r="AA288" i="16"/>
  <c r="V288" i="16"/>
  <c r="Y288" i="16" s="1"/>
  <c r="Z288" i="16" s="1"/>
  <c r="P288" i="16"/>
  <c r="W288" i="16" s="1"/>
  <c r="A288" i="16"/>
  <c r="AA287" i="16"/>
  <c r="V287" i="16"/>
  <c r="Y287" i="16" s="1"/>
  <c r="Z287" i="16" s="1"/>
  <c r="P287" i="16"/>
  <c r="W287" i="16" s="1"/>
  <c r="J287" i="16"/>
  <c r="AC287" i="16" s="1"/>
  <c r="A287" i="16"/>
  <c r="AA286" i="16"/>
  <c r="Z286" i="16"/>
  <c r="Y286" i="16"/>
  <c r="S286" i="16"/>
  <c r="R286" i="16"/>
  <c r="Q286" i="16"/>
  <c r="O286" i="16"/>
  <c r="N286" i="16"/>
  <c r="M286" i="16"/>
  <c r="L286" i="16"/>
  <c r="K286" i="16"/>
  <c r="J286" i="16"/>
  <c r="A286" i="16"/>
  <c r="AC285" i="16"/>
  <c r="AA285" i="16"/>
  <c r="Y285" i="16"/>
  <c r="Z285" i="16" s="1"/>
  <c r="W285" i="16"/>
  <c r="V285" i="16"/>
  <c r="P285" i="16"/>
  <c r="A285" i="16"/>
  <c r="AA284" i="16"/>
  <c r="Z284" i="16"/>
  <c r="Y284" i="16"/>
  <c r="S284" i="16"/>
  <c r="R284" i="16"/>
  <c r="Q284" i="16"/>
  <c r="O284" i="16"/>
  <c r="N284" i="16"/>
  <c r="P284" i="16" s="1"/>
  <c r="M284" i="16"/>
  <c r="L284" i="16"/>
  <c r="K284" i="16"/>
  <c r="J284" i="16"/>
  <c r="A284" i="16"/>
  <c r="AC283" i="16"/>
  <c r="AA283" i="16"/>
  <c r="V283" i="16"/>
  <c r="Y283" i="16" s="1"/>
  <c r="Z283" i="16" s="1"/>
  <c r="P283" i="16"/>
  <c r="W283" i="16" s="1"/>
  <c r="A283" i="16"/>
  <c r="AA282" i="16"/>
  <c r="Y282" i="16"/>
  <c r="Z282" i="16" s="1"/>
  <c r="S282" i="16"/>
  <c r="R282" i="16"/>
  <c r="Q282" i="16"/>
  <c r="P282" i="16"/>
  <c r="O282" i="16"/>
  <c r="N282" i="16"/>
  <c r="M282" i="16"/>
  <c r="L282" i="16"/>
  <c r="K282" i="16"/>
  <c r="J282" i="16"/>
  <c r="A282" i="16"/>
  <c r="AC281" i="16"/>
  <c r="AA281" i="16"/>
  <c r="Y281" i="16"/>
  <c r="Z281" i="16" s="1"/>
  <c r="W281" i="16"/>
  <c r="V281" i="16"/>
  <c r="P281" i="16"/>
  <c r="A281" i="16"/>
  <c r="AC280" i="16"/>
  <c r="AA280" i="16"/>
  <c r="Y280" i="16"/>
  <c r="Z280" i="16" s="1"/>
  <c r="V280" i="16"/>
  <c r="P280" i="16"/>
  <c r="W280" i="16" s="1"/>
  <c r="A280" i="16"/>
  <c r="AA279" i="16"/>
  <c r="Z279" i="16"/>
  <c r="Y279" i="16"/>
  <c r="S279" i="16"/>
  <c r="R279" i="16"/>
  <c r="Q279" i="16"/>
  <c r="O279" i="16"/>
  <c r="P279" i="16" s="1"/>
  <c r="N279" i="16"/>
  <c r="M279" i="16"/>
  <c r="L279" i="16"/>
  <c r="K279" i="16"/>
  <c r="J279" i="16"/>
  <c r="A279" i="16"/>
  <c r="AC278" i="16"/>
  <c r="AA278" i="16"/>
  <c r="Y278" i="16"/>
  <c r="Z278" i="16" s="1"/>
  <c r="V278" i="16"/>
  <c r="P278" i="16"/>
  <c r="W278" i="16" s="1"/>
  <c r="A278" i="16"/>
  <c r="AC277" i="16"/>
  <c r="AA277" i="16"/>
  <c r="Z277" i="16"/>
  <c r="V277" i="16"/>
  <c r="Y277" i="16" s="1"/>
  <c r="P277" i="16"/>
  <c r="W277" i="16" s="1"/>
  <c r="A277" i="16"/>
  <c r="AA276" i="16"/>
  <c r="Z276" i="16"/>
  <c r="Y276" i="16"/>
  <c r="S276" i="16"/>
  <c r="R276" i="16"/>
  <c r="Q276" i="16"/>
  <c r="P276" i="16"/>
  <c r="O276" i="16"/>
  <c r="N276" i="16"/>
  <c r="M276" i="16"/>
  <c r="L276" i="16"/>
  <c r="K276" i="16"/>
  <c r="J276" i="16"/>
  <c r="A276" i="16"/>
  <c r="AC275" i="16"/>
  <c r="AA275" i="16"/>
  <c r="Y275" i="16"/>
  <c r="Z275" i="16" s="1"/>
  <c r="W275" i="16"/>
  <c r="V275" i="16"/>
  <c r="P275" i="16"/>
  <c r="A275" i="16"/>
  <c r="AC274" i="16"/>
  <c r="AA274" i="16"/>
  <c r="Y274" i="16"/>
  <c r="Z274" i="16" s="1"/>
  <c r="V274" i="16"/>
  <c r="P274" i="16"/>
  <c r="W274" i="16" s="1"/>
  <c r="A274" i="16"/>
  <c r="AA273" i="16"/>
  <c r="Z273" i="16"/>
  <c r="Y273" i="16"/>
  <c r="S273" i="16"/>
  <c r="R273" i="16"/>
  <c r="Q273" i="16"/>
  <c r="O273" i="16"/>
  <c r="P273" i="16" s="1"/>
  <c r="N273" i="16"/>
  <c r="M273" i="16"/>
  <c r="L273" i="16"/>
  <c r="K273" i="16"/>
  <c r="A273" i="16"/>
  <c r="AC272" i="16"/>
  <c r="AA272" i="16"/>
  <c r="Y272" i="16"/>
  <c r="Z272" i="16" s="1"/>
  <c r="V272" i="16"/>
  <c r="P272" i="16"/>
  <c r="W272" i="16" s="1"/>
  <c r="A272" i="16"/>
  <c r="AC271" i="16"/>
  <c r="AA271" i="16"/>
  <c r="Y271" i="16"/>
  <c r="Z271" i="16" s="1"/>
  <c r="V271" i="16"/>
  <c r="P271" i="16"/>
  <c r="W271" i="16" s="1"/>
  <c r="A271" i="16"/>
  <c r="AC270" i="16"/>
  <c r="AA270" i="16"/>
  <c r="V270" i="16"/>
  <c r="Y270" i="16" s="1"/>
  <c r="Z270" i="16" s="1"/>
  <c r="P270" i="16"/>
  <c r="W270" i="16" s="1"/>
  <c r="A270" i="16"/>
  <c r="AC269" i="16"/>
  <c r="AA269" i="16"/>
  <c r="Z269" i="16"/>
  <c r="W269" i="16"/>
  <c r="V269" i="16"/>
  <c r="Y269" i="16" s="1"/>
  <c r="P269" i="16"/>
  <c r="A269" i="16"/>
  <c r="AC268" i="16"/>
  <c r="AA268" i="16"/>
  <c r="W268" i="16"/>
  <c r="V268" i="16"/>
  <c r="Y268" i="16" s="1"/>
  <c r="Z268" i="16" s="1"/>
  <c r="P268" i="16"/>
  <c r="A268" i="16"/>
  <c r="AC267" i="16"/>
  <c r="AA267" i="16"/>
  <c r="P267" i="16"/>
  <c r="W267" i="16" s="1"/>
  <c r="J267" i="16"/>
  <c r="A267" i="16"/>
  <c r="AC266" i="16"/>
  <c r="AA266" i="16"/>
  <c r="W266" i="16"/>
  <c r="V266" i="16"/>
  <c r="Y266" i="16" s="1"/>
  <c r="Z266" i="16" s="1"/>
  <c r="P266" i="16"/>
  <c r="A266" i="16"/>
  <c r="AC265" i="16"/>
  <c r="AA265" i="16"/>
  <c r="W265" i="16"/>
  <c r="V265" i="16"/>
  <c r="Y265" i="16" s="1"/>
  <c r="Z265" i="16" s="1"/>
  <c r="P265" i="16"/>
  <c r="A265" i="16"/>
  <c r="AC264" i="16"/>
  <c r="AA264" i="16"/>
  <c r="Y264" i="16"/>
  <c r="Z264" i="16" s="1"/>
  <c r="V264" i="16"/>
  <c r="P264" i="16"/>
  <c r="W264" i="16" s="1"/>
  <c r="A264" i="16"/>
  <c r="AA263" i="16"/>
  <c r="Y263" i="16"/>
  <c r="Z263" i="16" s="1"/>
  <c r="S263" i="16"/>
  <c r="R263" i="16"/>
  <c r="Q263" i="16"/>
  <c r="P263" i="16"/>
  <c r="O263" i="16"/>
  <c r="N263" i="16"/>
  <c r="M263" i="16"/>
  <c r="L263" i="16"/>
  <c r="K263" i="16"/>
  <c r="J263" i="16"/>
  <c r="A263" i="16"/>
  <c r="AC262" i="16"/>
  <c r="AA262" i="16"/>
  <c r="W262" i="16"/>
  <c r="V262" i="16"/>
  <c r="Y262" i="16" s="1"/>
  <c r="Z262" i="16" s="1"/>
  <c r="P262" i="16"/>
  <c r="A262" i="16"/>
  <c r="AA261" i="16"/>
  <c r="Z261" i="16"/>
  <c r="Y261" i="16"/>
  <c r="S261" i="16"/>
  <c r="R261" i="16"/>
  <c r="Q261" i="16"/>
  <c r="O261" i="16"/>
  <c r="N261" i="16"/>
  <c r="P261" i="16" s="1"/>
  <c r="M261" i="16"/>
  <c r="L261" i="16"/>
  <c r="K261" i="16"/>
  <c r="J261" i="16"/>
  <c r="A261" i="16"/>
  <c r="AC260" i="16"/>
  <c r="AA260" i="16"/>
  <c r="Z260" i="16"/>
  <c r="W260" i="16"/>
  <c r="V260" i="16"/>
  <c r="Y260" i="16" s="1"/>
  <c r="P260" i="16"/>
  <c r="A260" i="16"/>
  <c r="AA259" i="16"/>
  <c r="Z259" i="16"/>
  <c r="Y259" i="16"/>
  <c r="S259" i="16"/>
  <c r="R259" i="16"/>
  <c r="Q259" i="16"/>
  <c r="O259" i="16"/>
  <c r="M259" i="16"/>
  <c r="L259" i="16"/>
  <c r="K259" i="16"/>
  <c r="J259" i="16"/>
  <c r="A259" i="16"/>
  <c r="AC258" i="16"/>
  <c r="AA258" i="16"/>
  <c r="Y258" i="16"/>
  <c r="Z258" i="16" s="1"/>
  <c r="V258" i="16"/>
  <c r="P258" i="16"/>
  <c r="W258" i="16" s="1"/>
  <c r="A258" i="16"/>
  <c r="AC257" i="16"/>
  <c r="AA257" i="16"/>
  <c r="W257" i="16"/>
  <c r="V257" i="16"/>
  <c r="Y257" i="16" s="1"/>
  <c r="Z257" i="16" s="1"/>
  <c r="P257" i="16"/>
  <c r="A257" i="16"/>
  <c r="AC256" i="16"/>
  <c r="AA256" i="16"/>
  <c r="W256" i="16"/>
  <c r="V256" i="16"/>
  <c r="Y256" i="16" s="1"/>
  <c r="Z256" i="16" s="1"/>
  <c r="P256" i="16"/>
  <c r="A256" i="16"/>
  <c r="AC255" i="16"/>
  <c r="AA255" i="16"/>
  <c r="Y255" i="16"/>
  <c r="Z255" i="16" s="1"/>
  <c r="V255" i="16"/>
  <c r="P255" i="16"/>
  <c r="W255" i="16" s="1"/>
  <c r="A255" i="16"/>
  <c r="AC254" i="16"/>
  <c r="AA254" i="16"/>
  <c r="Y254" i="16"/>
  <c r="Z254" i="16" s="1"/>
  <c r="V254" i="16"/>
  <c r="P254" i="16"/>
  <c r="W254" i="16" s="1"/>
  <c r="A254" i="16"/>
  <c r="AC253" i="16"/>
  <c r="AA253" i="16"/>
  <c r="W253" i="16"/>
  <c r="V253" i="16"/>
  <c r="Y253" i="16" s="1"/>
  <c r="Z253" i="16" s="1"/>
  <c r="P253" i="16"/>
  <c r="A253" i="16"/>
  <c r="AA252" i="16"/>
  <c r="N252" i="16"/>
  <c r="A252" i="16"/>
  <c r="AC251" i="16"/>
  <c r="AA251" i="16"/>
  <c r="Y251" i="16"/>
  <c r="Z251" i="16" s="1"/>
  <c r="V251" i="16"/>
  <c r="P251" i="16"/>
  <c r="W251" i="16" s="1"/>
  <c r="A251" i="16"/>
  <c r="AC250" i="16"/>
  <c r="AA250" i="16"/>
  <c r="W250" i="16"/>
  <c r="V250" i="16"/>
  <c r="Y250" i="16" s="1"/>
  <c r="Z250" i="16" s="1"/>
  <c r="P250" i="16"/>
  <c r="A250" i="16"/>
  <c r="AA249" i="16"/>
  <c r="N249" i="16"/>
  <c r="A249" i="16"/>
  <c r="AC248" i="16"/>
  <c r="AA248" i="16"/>
  <c r="Y248" i="16"/>
  <c r="Z248" i="16" s="1"/>
  <c r="V248" i="16"/>
  <c r="P248" i="16"/>
  <c r="W248" i="16" s="1"/>
  <c r="A248" i="16"/>
  <c r="AA247" i="16"/>
  <c r="Y247" i="16"/>
  <c r="Z247" i="16" s="1"/>
  <c r="W247" i="16"/>
  <c r="V247" i="16"/>
  <c r="P247" i="16"/>
  <c r="N247" i="16"/>
  <c r="A247" i="16"/>
  <c r="AA246" i="16"/>
  <c r="Z246" i="16"/>
  <c r="Y246" i="16"/>
  <c r="S246" i="16"/>
  <c r="R246" i="16"/>
  <c r="Q246" i="16"/>
  <c r="O246" i="16"/>
  <c r="N246" i="16"/>
  <c r="P246" i="16" s="1"/>
  <c r="M246" i="16"/>
  <c r="L246" i="16"/>
  <c r="K246" i="16"/>
  <c r="J246" i="16"/>
  <c r="A246" i="16"/>
  <c r="AC245" i="16"/>
  <c r="AA245" i="16"/>
  <c r="Z245" i="16"/>
  <c r="V245" i="16"/>
  <c r="Y245" i="16" s="1"/>
  <c r="P245" i="16"/>
  <c r="W245" i="16" s="1"/>
  <c r="A245" i="16"/>
  <c r="AC244" i="16"/>
  <c r="AA244" i="16"/>
  <c r="Z244" i="16"/>
  <c r="W244" i="16"/>
  <c r="V244" i="16"/>
  <c r="Y244" i="16" s="1"/>
  <c r="P244" i="16"/>
  <c r="A244" i="16"/>
  <c r="AC243" i="16"/>
  <c r="AA243" i="16"/>
  <c r="Y243" i="16"/>
  <c r="Z243" i="16" s="1"/>
  <c r="V243" i="16"/>
  <c r="P243" i="16"/>
  <c r="W243" i="16" s="1"/>
  <c r="A243" i="16"/>
  <c r="AC242" i="16"/>
  <c r="AA242" i="16"/>
  <c r="Z242" i="16"/>
  <c r="V242" i="16"/>
  <c r="Y242" i="16" s="1"/>
  <c r="P242" i="16"/>
  <c r="W242" i="16" s="1"/>
  <c r="A242" i="16"/>
  <c r="AC241" i="16"/>
  <c r="AA241" i="16"/>
  <c r="V241" i="16"/>
  <c r="Y241" i="16" s="1"/>
  <c r="Z241" i="16" s="1"/>
  <c r="P241" i="16"/>
  <c r="W241" i="16" s="1"/>
  <c r="A241" i="16"/>
  <c r="AC240" i="16"/>
  <c r="AA240" i="16"/>
  <c r="Z240" i="16"/>
  <c r="W240" i="16"/>
  <c r="V240" i="16"/>
  <c r="Y240" i="16" s="1"/>
  <c r="P240" i="16"/>
  <c r="A240" i="16"/>
  <c r="AC239" i="16"/>
  <c r="AA239" i="16"/>
  <c r="Y239" i="16"/>
  <c r="Z239" i="16" s="1"/>
  <c r="V239" i="16"/>
  <c r="P239" i="16"/>
  <c r="W239" i="16" s="1"/>
  <c r="A239" i="16"/>
  <c r="AC238" i="16"/>
  <c r="AA238" i="16"/>
  <c r="Z238" i="16"/>
  <c r="V238" i="16"/>
  <c r="Y238" i="16" s="1"/>
  <c r="P238" i="16"/>
  <c r="W238" i="16" s="1"/>
  <c r="A238" i="16"/>
  <c r="AC237" i="16"/>
  <c r="AA237" i="16"/>
  <c r="V237" i="16"/>
  <c r="Y237" i="16" s="1"/>
  <c r="Z237" i="16" s="1"/>
  <c r="P237" i="16"/>
  <c r="W237" i="16" s="1"/>
  <c r="A237" i="16"/>
  <c r="AC236" i="16"/>
  <c r="AA236" i="16"/>
  <c r="Z236" i="16"/>
  <c r="W236" i="16"/>
  <c r="V236" i="16"/>
  <c r="Y236" i="16" s="1"/>
  <c r="P236" i="16"/>
  <c r="A236" i="16"/>
  <c r="AC235" i="16"/>
  <c r="AA235" i="16"/>
  <c r="Y235" i="16"/>
  <c r="Z235" i="16" s="1"/>
  <c r="V235" i="16"/>
  <c r="P235" i="16"/>
  <c r="W235" i="16" s="1"/>
  <c r="A235" i="16"/>
  <c r="AA234" i="16"/>
  <c r="Y234" i="16"/>
  <c r="Z234" i="16" s="1"/>
  <c r="S234" i="16"/>
  <c r="R234" i="16"/>
  <c r="Q234" i="16"/>
  <c r="O234" i="16"/>
  <c r="P234" i="16" s="1"/>
  <c r="N234" i="16"/>
  <c r="M234" i="16"/>
  <c r="L234" i="16"/>
  <c r="K234" i="16"/>
  <c r="J234" i="16"/>
  <c r="A234" i="16"/>
  <c r="AC233" i="16"/>
  <c r="AA233" i="16"/>
  <c r="W233" i="16"/>
  <c r="V233" i="16"/>
  <c r="Y233" i="16" s="1"/>
  <c r="Z233" i="16" s="1"/>
  <c r="P233" i="16"/>
  <c r="A233" i="16"/>
  <c r="AA232" i="16"/>
  <c r="Z232" i="16"/>
  <c r="Y232" i="16"/>
  <c r="S232" i="16"/>
  <c r="R232" i="16"/>
  <c r="Q232" i="16"/>
  <c r="O232" i="16"/>
  <c r="N232" i="16"/>
  <c r="M232" i="16"/>
  <c r="L232" i="16"/>
  <c r="K232" i="16"/>
  <c r="J232" i="16"/>
  <c r="A232" i="16"/>
  <c r="AC231" i="16"/>
  <c r="AA231" i="16"/>
  <c r="Y231" i="16"/>
  <c r="Z231" i="16" s="1"/>
  <c r="W231" i="16"/>
  <c r="V231" i="16"/>
  <c r="P231" i="16"/>
  <c r="A231" i="16"/>
  <c r="AA230" i="16"/>
  <c r="Z230" i="16"/>
  <c r="Y230" i="16"/>
  <c r="S230" i="16"/>
  <c r="R230" i="16"/>
  <c r="Q230" i="16"/>
  <c r="O230" i="16"/>
  <c r="N230" i="16"/>
  <c r="P230" i="16" s="1"/>
  <c r="M230" i="16"/>
  <c r="L230" i="16"/>
  <c r="K230" i="16"/>
  <c r="J230" i="16"/>
  <c r="A230" i="16"/>
  <c r="AC229" i="16"/>
  <c r="AA229" i="16"/>
  <c r="Z229" i="16"/>
  <c r="V229" i="16"/>
  <c r="Y229" i="16" s="1"/>
  <c r="P229" i="16"/>
  <c r="W229" i="16" s="1"/>
  <c r="A229" i="16"/>
  <c r="AC228" i="16"/>
  <c r="AA228" i="16"/>
  <c r="V228" i="16"/>
  <c r="Y228" i="16" s="1"/>
  <c r="Z228" i="16" s="1"/>
  <c r="P228" i="16"/>
  <c r="W228" i="16" s="1"/>
  <c r="A228" i="16"/>
  <c r="AC227" i="16"/>
  <c r="AA227" i="16"/>
  <c r="Z227" i="16"/>
  <c r="W227" i="16"/>
  <c r="V227" i="16"/>
  <c r="Y227" i="16" s="1"/>
  <c r="P227" i="16"/>
  <c r="A227" i="16"/>
  <c r="AC226" i="16"/>
  <c r="AA226" i="16"/>
  <c r="Y226" i="16"/>
  <c r="Z226" i="16" s="1"/>
  <c r="V226" i="16"/>
  <c r="P226" i="16"/>
  <c r="W226" i="16" s="1"/>
  <c r="A226" i="16"/>
  <c r="AC225" i="16"/>
  <c r="AA225" i="16"/>
  <c r="V225" i="16"/>
  <c r="Y225" i="16" s="1"/>
  <c r="Z225" i="16" s="1"/>
  <c r="P225" i="16"/>
  <c r="W225" i="16" s="1"/>
  <c r="A225" i="16"/>
  <c r="AC224" i="16"/>
  <c r="AA224" i="16"/>
  <c r="Z224" i="16"/>
  <c r="V224" i="16"/>
  <c r="Y224" i="16" s="1"/>
  <c r="P224" i="16"/>
  <c r="W224" i="16" s="1"/>
  <c r="A224" i="16"/>
  <c r="AC223" i="16"/>
  <c r="AA223" i="16"/>
  <c r="Z223" i="16"/>
  <c r="W223" i="16"/>
  <c r="V223" i="16"/>
  <c r="Y223" i="16" s="1"/>
  <c r="P223" i="16"/>
  <c r="A223" i="16"/>
  <c r="AA222" i="16"/>
  <c r="Z222" i="16"/>
  <c r="Y222" i="16"/>
  <c r="S222" i="16"/>
  <c r="R222" i="16"/>
  <c r="Q222" i="16"/>
  <c r="O222" i="16"/>
  <c r="M222" i="16"/>
  <c r="L222" i="16"/>
  <c r="K222" i="16"/>
  <c r="J222" i="16"/>
  <c r="A222" i="16"/>
  <c r="AC221" i="16"/>
  <c r="AA221" i="16"/>
  <c r="W221" i="16"/>
  <c r="V221" i="16"/>
  <c r="Y221" i="16" s="1"/>
  <c r="Z221" i="16" s="1"/>
  <c r="P221" i="16"/>
  <c r="A221" i="16"/>
  <c r="AC220" i="16"/>
  <c r="AA220" i="16"/>
  <c r="W220" i="16"/>
  <c r="V220" i="16"/>
  <c r="Y220" i="16" s="1"/>
  <c r="Z220" i="16" s="1"/>
  <c r="P220" i="16"/>
  <c r="A220" i="16"/>
  <c r="AC219" i="16"/>
  <c r="AA219" i="16"/>
  <c r="P219" i="16"/>
  <c r="W219" i="16" s="1"/>
  <c r="N219" i="16"/>
  <c r="V219" i="16" s="1"/>
  <c r="Y219" i="16" s="1"/>
  <c r="Z219" i="16" s="1"/>
  <c r="A219" i="16"/>
  <c r="AC218" i="16"/>
  <c r="AA218" i="16"/>
  <c r="W218" i="16"/>
  <c r="V218" i="16"/>
  <c r="Y218" i="16" s="1"/>
  <c r="Z218" i="16" s="1"/>
  <c r="P218" i="16"/>
  <c r="A218" i="16"/>
  <c r="AC217" i="16"/>
  <c r="AA217" i="16"/>
  <c r="W217" i="16"/>
  <c r="V217" i="16"/>
  <c r="Y217" i="16" s="1"/>
  <c r="Z217" i="16" s="1"/>
  <c r="P217" i="16"/>
  <c r="A217" i="16"/>
  <c r="AC216" i="16"/>
  <c r="AA216" i="16"/>
  <c r="Y216" i="16"/>
  <c r="Z216" i="16" s="1"/>
  <c r="W216" i="16"/>
  <c r="V216" i="16"/>
  <c r="P216" i="16"/>
  <c r="A216" i="16"/>
  <c r="AC215" i="16"/>
  <c r="AA215" i="16"/>
  <c r="V215" i="16"/>
  <c r="Y215" i="16" s="1"/>
  <c r="Z215" i="16" s="1"/>
  <c r="P215" i="16"/>
  <c r="W215" i="16" s="1"/>
  <c r="A215" i="16"/>
  <c r="AA214" i="16"/>
  <c r="Z214" i="16"/>
  <c r="V214" i="16"/>
  <c r="Y214" i="16" s="1"/>
  <c r="P214" i="16"/>
  <c r="W214" i="16" s="1"/>
  <c r="N214" i="16"/>
  <c r="AC214" i="16" s="1"/>
  <c r="A214" i="16"/>
  <c r="AC213" i="16"/>
  <c r="AA213" i="16"/>
  <c r="Y213" i="16"/>
  <c r="Z213" i="16" s="1"/>
  <c r="W213" i="16"/>
  <c r="V213" i="16"/>
  <c r="P213" i="16"/>
  <c r="A213" i="16"/>
  <c r="AC212" i="16"/>
  <c r="AA212" i="16"/>
  <c r="V212" i="16"/>
  <c r="Y212" i="16" s="1"/>
  <c r="Z212" i="16" s="1"/>
  <c r="P212" i="16"/>
  <c r="W212" i="16" s="1"/>
  <c r="A212" i="16"/>
  <c r="AC211" i="16"/>
  <c r="AA211" i="16"/>
  <c r="W211" i="16"/>
  <c r="V211" i="16"/>
  <c r="Y211" i="16" s="1"/>
  <c r="Z211" i="16" s="1"/>
  <c r="P211" i="16"/>
  <c r="A211" i="16"/>
  <c r="AC210" i="16"/>
  <c r="AA210" i="16"/>
  <c r="W210" i="16"/>
  <c r="V210" i="16"/>
  <c r="Y210" i="16" s="1"/>
  <c r="Z210" i="16" s="1"/>
  <c r="N210" i="16"/>
  <c r="P210" i="16" s="1"/>
  <c r="A210" i="16"/>
  <c r="AC209" i="16"/>
  <c r="AA209" i="16"/>
  <c r="V209" i="16"/>
  <c r="Y209" i="16" s="1"/>
  <c r="Z209" i="16" s="1"/>
  <c r="P209" i="16"/>
  <c r="W209" i="16" s="1"/>
  <c r="A209" i="16"/>
  <c r="AC208" i="16"/>
  <c r="AA208" i="16"/>
  <c r="W208" i="16"/>
  <c r="V208" i="16"/>
  <c r="Y208" i="16" s="1"/>
  <c r="Z208" i="16" s="1"/>
  <c r="P208" i="16"/>
  <c r="A208" i="16"/>
  <c r="AC207" i="16"/>
  <c r="AA207" i="16"/>
  <c r="W207" i="16"/>
  <c r="V207" i="16"/>
  <c r="Y207" i="16" s="1"/>
  <c r="Z207" i="16" s="1"/>
  <c r="P207" i="16"/>
  <c r="A207" i="16"/>
  <c r="AC206" i="16"/>
  <c r="AA206" i="16"/>
  <c r="P206" i="16"/>
  <c r="W206" i="16" s="1"/>
  <c r="N206" i="16"/>
  <c r="V206" i="16" s="1"/>
  <c r="Y206" i="16" s="1"/>
  <c r="Z206" i="16" s="1"/>
  <c r="A206" i="16"/>
  <c r="AA205" i="16"/>
  <c r="Z205" i="16"/>
  <c r="V205" i="16"/>
  <c r="Y205" i="16" s="1"/>
  <c r="P205" i="16"/>
  <c r="W205" i="16" s="1"/>
  <c r="N205" i="16"/>
  <c r="AC205" i="16" s="1"/>
  <c r="A205" i="16"/>
  <c r="AC204" i="16"/>
  <c r="AA204" i="16"/>
  <c r="P204" i="16"/>
  <c r="W204" i="16" s="1"/>
  <c r="N204" i="16"/>
  <c r="V204" i="16" s="1"/>
  <c r="Y204" i="16" s="1"/>
  <c r="Z204" i="16" s="1"/>
  <c r="A204" i="16"/>
  <c r="AC203" i="16"/>
  <c r="AA203" i="16"/>
  <c r="W203" i="16"/>
  <c r="V203" i="16"/>
  <c r="Y203" i="16" s="1"/>
  <c r="Z203" i="16" s="1"/>
  <c r="P203" i="16"/>
  <c r="A203" i="16"/>
  <c r="AC202" i="16"/>
  <c r="AA202" i="16"/>
  <c r="W202" i="16"/>
  <c r="V202" i="16"/>
  <c r="Y202" i="16" s="1"/>
  <c r="Z202" i="16" s="1"/>
  <c r="P202" i="16"/>
  <c r="A202" i="16"/>
  <c r="AC201" i="16"/>
  <c r="AA201" i="16"/>
  <c r="Y201" i="16"/>
  <c r="Z201" i="16" s="1"/>
  <c r="W201" i="16"/>
  <c r="V201" i="16"/>
  <c r="P201" i="16"/>
  <c r="A201" i="16"/>
  <c r="AC200" i="16"/>
  <c r="AA200" i="16"/>
  <c r="V200" i="16"/>
  <c r="Y200" i="16" s="1"/>
  <c r="Z200" i="16" s="1"/>
  <c r="P200" i="16"/>
  <c r="W200" i="16" s="1"/>
  <c r="N200" i="16"/>
  <c r="A200" i="16"/>
  <c r="AC199" i="16"/>
  <c r="AA199" i="16"/>
  <c r="W199" i="16"/>
  <c r="V199" i="16"/>
  <c r="Y199" i="16" s="1"/>
  <c r="Z199" i="16" s="1"/>
  <c r="P199" i="16"/>
  <c r="A199" i="16"/>
  <c r="AC198" i="16"/>
  <c r="AA198" i="16"/>
  <c r="W198" i="16"/>
  <c r="P198" i="16"/>
  <c r="N198" i="16"/>
  <c r="V198" i="16" s="1"/>
  <c r="Y198" i="16" s="1"/>
  <c r="Z198" i="16" s="1"/>
  <c r="A198" i="16"/>
  <c r="AC197" i="16"/>
  <c r="AA197" i="16"/>
  <c r="Y197" i="16"/>
  <c r="Z197" i="16" s="1"/>
  <c r="W197" i="16"/>
  <c r="V197" i="16"/>
  <c r="P197" i="16"/>
  <c r="A197" i="16"/>
  <c r="AC196" i="16"/>
  <c r="AA196" i="16"/>
  <c r="W196" i="16"/>
  <c r="V196" i="16"/>
  <c r="Y196" i="16" s="1"/>
  <c r="Z196" i="16" s="1"/>
  <c r="P196" i="16"/>
  <c r="A196" i="16"/>
  <c r="AC195" i="16"/>
  <c r="AA195" i="16"/>
  <c r="W195" i="16"/>
  <c r="P195" i="16"/>
  <c r="N195" i="16"/>
  <c r="V195" i="16" s="1"/>
  <c r="Y195" i="16" s="1"/>
  <c r="Z195" i="16" s="1"/>
  <c r="A195" i="16"/>
  <c r="AC194" i="16"/>
  <c r="AA194" i="16"/>
  <c r="Y194" i="16"/>
  <c r="Z194" i="16" s="1"/>
  <c r="W194" i="16"/>
  <c r="V194" i="16"/>
  <c r="P194" i="16"/>
  <c r="A194" i="16"/>
  <c r="AC193" i="16"/>
  <c r="AA193" i="16"/>
  <c r="W193" i="16"/>
  <c r="V193" i="16"/>
  <c r="Y193" i="16" s="1"/>
  <c r="Z193" i="16" s="1"/>
  <c r="P193" i="16"/>
  <c r="A193" i="16"/>
  <c r="AC192" i="16"/>
  <c r="AA192" i="16"/>
  <c r="Y192" i="16"/>
  <c r="Z192" i="16" s="1"/>
  <c r="W192" i="16"/>
  <c r="V192" i="16"/>
  <c r="P192" i="16"/>
  <c r="A192" i="16"/>
  <c r="AC191" i="16"/>
  <c r="AA191" i="16"/>
  <c r="Y191" i="16"/>
  <c r="Z191" i="16" s="1"/>
  <c r="V191" i="16"/>
  <c r="P191" i="16"/>
  <c r="W191" i="16" s="1"/>
  <c r="A191" i="16"/>
  <c r="AC190" i="16"/>
  <c r="AA190" i="16"/>
  <c r="Y190" i="16"/>
  <c r="Z190" i="16" s="1"/>
  <c r="W190" i="16"/>
  <c r="V190" i="16"/>
  <c r="P190" i="16"/>
  <c r="A190" i="16"/>
  <c r="AC189" i="16"/>
  <c r="AA189" i="16"/>
  <c r="W189" i="16"/>
  <c r="V189" i="16"/>
  <c r="Y189" i="16" s="1"/>
  <c r="Z189" i="16" s="1"/>
  <c r="N189" i="16"/>
  <c r="P189" i="16" s="1"/>
  <c r="A189" i="16"/>
  <c r="AC188" i="16"/>
  <c r="AA188" i="16"/>
  <c r="Y188" i="16"/>
  <c r="Z188" i="16" s="1"/>
  <c r="V188" i="16"/>
  <c r="P188" i="16"/>
  <c r="W188" i="16" s="1"/>
  <c r="A188" i="16"/>
  <c r="AC187" i="16"/>
  <c r="AA187" i="16"/>
  <c r="Y187" i="16"/>
  <c r="Z187" i="16" s="1"/>
  <c r="W187" i="16"/>
  <c r="V187" i="16"/>
  <c r="P187" i="16"/>
  <c r="A187" i="16"/>
  <c r="AC186" i="16"/>
  <c r="AA186" i="16"/>
  <c r="W186" i="16"/>
  <c r="V186" i="16"/>
  <c r="Y186" i="16" s="1"/>
  <c r="Z186" i="16" s="1"/>
  <c r="P186" i="16"/>
  <c r="A186" i="16"/>
  <c r="AC185" i="16"/>
  <c r="AA185" i="16"/>
  <c r="Y185" i="16"/>
  <c r="Z185" i="16" s="1"/>
  <c r="W185" i="16"/>
  <c r="V185" i="16"/>
  <c r="P185" i="16"/>
  <c r="A185" i="16"/>
  <c r="AC184" i="16"/>
  <c r="AA184" i="16"/>
  <c r="Y184" i="16"/>
  <c r="Z184" i="16" s="1"/>
  <c r="V184" i="16"/>
  <c r="P184" i="16"/>
  <c r="W184" i="16" s="1"/>
  <c r="A184" i="16"/>
  <c r="AC183" i="16"/>
  <c r="AA183" i="16"/>
  <c r="Y183" i="16"/>
  <c r="Z183" i="16" s="1"/>
  <c r="W183" i="16"/>
  <c r="V183" i="16"/>
  <c r="P183" i="16"/>
  <c r="A183" i="16"/>
  <c r="AC182" i="16"/>
  <c r="AA182" i="16"/>
  <c r="W182" i="16"/>
  <c r="V182" i="16"/>
  <c r="Y182" i="16" s="1"/>
  <c r="Z182" i="16" s="1"/>
  <c r="P182" i="16"/>
  <c r="A182" i="16"/>
  <c r="AC181" i="16"/>
  <c r="AA181" i="16"/>
  <c r="Y181" i="16"/>
  <c r="Z181" i="16" s="1"/>
  <c r="W181" i="16"/>
  <c r="V181" i="16"/>
  <c r="P181" i="16"/>
  <c r="A181" i="16"/>
  <c r="AC180" i="16"/>
  <c r="AA180" i="16"/>
  <c r="Y180" i="16"/>
  <c r="Z180" i="16" s="1"/>
  <c r="V180" i="16"/>
  <c r="P180" i="16"/>
  <c r="W180" i="16" s="1"/>
  <c r="A180" i="16"/>
  <c r="AA179" i="16"/>
  <c r="W179" i="16"/>
  <c r="V179" i="16"/>
  <c r="Y179" i="16" s="1"/>
  <c r="Z179" i="16" s="1"/>
  <c r="P179" i="16"/>
  <c r="N179" i="16"/>
  <c r="AC179" i="16" s="1"/>
  <c r="A179" i="16"/>
  <c r="AC178" i="16"/>
  <c r="AA178" i="16"/>
  <c r="Y178" i="16"/>
  <c r="Z178" i="16" s="1"/>
  <c r="W178" i="16"/>
  <c r="V178" i="16"/>
  <c r="P178" i="16"/>
  <c r="A178" i="16"/>
  <c r="AC177" i="16"/>
  <c r="AA177" i="16"/>
  <c r="Y177" i="16"/>
  <c r="Z177" i="16" s="1"/>
  <c r="V177" i="16"/>
  <c r="P177" i="16"/>
  <c r="W177" i="16" s="1"/>
  <c r="A177" i="16"/>
  <c r="AC176" i="16"/>
  <c r="AA176" i="16"/>
  <c r="Y176" i="16"/>
  <c r="Z176" i="16" s="1"/>
  <c r="W176" i="16"/>
  <c r="V176" i="16"/>
  <c r="P176" i="16"/>
  <c r="A176" i="16"/>
  <c r="AC175" i="16"/>
  <c r="AA175" i="16"/>
  <c r="W175" i="16"/>
  <c r="V175" i="16"/>
  <c r="Y175" i="16" s="1"/>
  <c r="Z175" i="16" s="1"/>
  <c r="P175" i="16"/>
  <c r="A175" i="16"/>
  <c r="AC174" i="16"/>
  <c r="AA174" i="16"/>
  <c r="W174" i="16"/>
  <c r="P174" i="16"/>
  <c r="N174" i="16"/>
  <c r="V174" i="16" s="1"/>
  <c r="Y174" i="16" s="1"/>
  <c r="Z174" i="16" s="1"/>
  <c r="A174" i="16"/>
  <c r="AC173" i="16"/>
  <c r="AA173" i="16"/>
  <c r="Y173" i="16"/>
  <c r="Z173" i="16" s="1"/>
  <c r="W173" i="16"/>
  <c r="V173" i="16"/>
  <c r="P173" i="16"/>
  <c r="A173" i="16"/>
  <c r="AC172" i="16"/>
  <c r="AA172" i="16"/>
  <c r="W172" i="16"/>
  <c r="V172" i="16"/>
  <c r="Y172" i="16" s="1"/>
  <c r="Z172" i="16" s="1"/>
  <c r="P172" i="16"/>
  <c r="A172" i="16"/>
  <c r="AC171" i="16"/>
  <c r="AA171" i="16"/>
  <c r="Y171" i="16"/>
  <c r="Z171" i="16" s="1"/>
  <c r="W171" i="16"/>
  <c r="V171" i="16"/>
  <c r="P171" i="16"/>
  <c r="A171" i="16"/>
  <c r="AC170" i="16"/>
  <c r="AA170" i="16"/>
  <c r="Y170" i="16"/>
  <c r="Z170" i="16" s="1"/>
  <c r="V170" i="16"/>
  <c r="P170" i="16"/>
  <c r="W170" i="16" s="1"/>
  <c r="A170" i="16"/>
  <c r="AC169" i="16"/>
  <c r="AA169" i="16"/>
  <c r="Y169" i="16"/>
  <c r="Z169" i="16" s="1"/>
  <c r="W169" i="16"/>
  <c r="V169" i="16"/>
  <c r="P169" i="16"/>
  <c r="A169" i="16"/>
  <c r="AC168" i="16"/>
  <c r="AA168" i="16"/>
  <c r="W168" i="16"/>
  <c r="V168" i="16"/>
  <c r="Y168" i="16" s="1"/>
  <c r="Z168" i="16" s="1"/>
  <c r="P168" i="16"/>
  <c r="A168" i="16"/>
  <c r="AC167" i="16"/>
  <c r="AA167" i="16"/>
  <c r="Y167" i="16"/>
  <c r="Z167" i="16" s="1"/>
  <c r="W167" i="16"/>
  <c r="V167" i="16"/>
  <c r="P167" i="16"/>
  <c r="A167" i="16"/>
  <c r="AC166" i="16"/>
  <c r="AA166" i="16"/>
  <c r="Y166" i="16"/>
  <c r="Z166" i="16" s="1"/>
  <c r="V166" i="16"/>
  <c r="P166" i="16"/>
  <c r="W166" i="16" s="1"/>
  <c r="A166" i="16"/>
  <c r="AC165" i="16"/>
  <c r="AA165" i="16"/>
  <c r="Y165" i="16"/>
  <c r="Z165" i="16" s="1"/>
  <c r="W165" i="16"/>
  <c r="V165" i="16"/>
  <c r="P165" i="16"/>
  <c r="A165" i="16"/>
  <c r="AC164" i="16"/>
  <c r="AA164" i="16"/>
  <c r="W164" i="16"/>
  <c r="V164" i="16"/>
  <c r="Y164" i="16" s="1"/>
  <c r="Z164" i="16" s="1"/>
  <c r="P164" i="16"/>
  <c r="A164" i="16"/>
  <c r="AC163" i="16"/>
  <c r="AA163" i="16"/>
  <c r="Y163" i="16"/>
  <c r="Z163" i="16" s="1"/>
  <c r="W163" i="16"/>
  <c r="V163" i="16"/>
  <c r="P163" i="16"/>
  <c r="A163" i="16"/>
  <c r="AC162" i="16"/>
  <c r="AA162" i="16"/>
  <c r="Y162" i="16"/>
  <c r="Z162" i="16" s="1"/>
  <c r="V162" i="16"/>
  <c r="P162" i="16"/>
  <c r="W162" i="16" s="1"/>
  <c r="A162" i="16"/>
  <c r="AC161" i="16"/>
  <c r="AA161" i="16"/>
  <c r="Y161" i="16"/>
  <c r="Z161" i="16" s="1"/>
  <c r="W161" i="16"/>
  <c r="V161" i="16"/>
  <c r="P161" i="16"/>
  <c r="A161" i="16"/>
  <c r="AC160" i="16"/>
  <c r="AA160" i="16"/>
  <c r="W160" i="16"/>
  <c r="V160" i="16"/>
  <c r="Y160" i="16" s="1"/>
  <c r="Z160" i="16" s="1"/>
  <c r="P160" i="16"/>
  <c r="A160" i="16"/>
  <c r="AC159" i="16"/>
  <c r="AA159" i="16"/>
  <c r="Y159" i="16"/>
  <c r="Z159" i="16" s="1"/>
  <c r="W159" i="16"/>
  <c r="V159" i="16"/>
  <c r="P159" i="16"/>
  <c r="A159" i="16"/>
  <c r="AC158" i="16"/>
  <c r="AA158" i="16"/>
  <c r="Y158" i="16"/>
  <c r="Z158" i="16" s="1"/>
  <c r="V158" i="16"/>
  <c r="P158" i="16"/>
  <c r="W158" i="16" s="1"/>
  <c r="A158" i="16"/>
  <c r="AC157" i="16"/>
  <c r="AA157" i="16"/>
  <c r="Y157" i="16"/>
  <c r="Z157" i="16" s="1"/>
  <c r="W157" i="16"/>
  <c r="V157" i="16"/>
  <c r="P157" i="16"/>
  <c r="A157" i="16"/>
  <c r="AC156" i="16"/>
  <c r="AA156" i="16"/>
  <c r="W156" i="16"/>
  <c r="V156" i="16"/>
  <c r="Y156" i="16" s="1"/>
  <c r="Z156" i="16" s="1"/>
  <c r="P156" i="16"/>
  <c r="A156" i="16"/>
  <c r="AC155" i="16"/>
  <c r="AA155" i="16"/>
  <c r="Y155" i="16"/>
  <c r="Z155" i="16" s="1"/>
  <c r="W155" i="16"/>
  <c r="V155" i="16"/>
  <c r="P155" i="16"/>
  <c r="A155" i="16"/>
  <c r="AC154" i="16"/>
  <c r="AA154" i="16"/>
  <c r="Y154" i="16"/>
  <c r="Z154" i="16" s="1"/>
  <c r="V154" i="16"/>
  <c r="P154" i="16"/>
  <c r="W154" i="16" s="1"/>
  <c r="A154" i="16"/>
  <c r="AC153" i="16"/>
  <c r="AA153" i="16"/>
  <c r="Y153" i="16"/>
  <c r="Z153" i="16" s="1"/>
  <c r="W153" i="16"/>
  <c r="V153" i="16"/>
  <c r="P153" i="16"/>
  <c r="A153" i="16"/>
  <c r="AC152" i="16"/>
  <c r="AA152" i="16"/>
  <c r="W152" i="16"/>
  <c r="V152" i="16"/>
  <c r="Y152" i="16" s="1"/>
  <c r="Z152" i="16" s="1"/>
  <c r="P152" i="16"/>
  <c r="A152" i="16"/>
  <c r="AC151" i="16"/>
  <c r="AA151" i="16"/>
  <c r="Y151" i="16"/>
  <c r="Z151" i="16" s="1"/>
  <c r="W151" i="16"/>
  <c r="V151" i="16"/>
  <c r="P151" i="16"/>
  <c r="A151" i="16"/>
  <c r="AC150" i="16"/>
  <c r="AA150" i="16"/>
  <c r="Y150" i="16"/>
  <c r="Z150" i="16" s="1"/>
  <c r="V150" i="16"/>
  <c r="P150" i="16"/>
  <c r="W150" i="16" s="1"/>
  <c r="A150" i="16"/>
  <c r="AC149" i="16"/>
  <c r="AA149" i="16"/>
  <c r="Y149" i="16"/>
  <c r="Z149" i="16" s="1"/>
  <c r="W149" i="16"/>
  <c r="V149" i="16"/>
  <c r="P149" i="16"/>
  <c r="A149" i="16"/>
  <c r="AC148" i="16"/>
  <c r="AA148" i="16"/>
  <c r="W148" i="16"/>
  <c r="V148" i="16"/>
  <c r="Y148" i="16" s="1"/>
  <c r="Z148" i="16" s="1"/>
  <c r="P148" i="16"/>
  <c r="A148" i="16"/>
  <c r="AC147" i="16"/>
  <c r="AA147" i="16"/>
  <c r="Y147" i="16"/>
  <c r="Z147" i="16" s="1"/>
  <c r="W147" i="16"/>
  <c r="V147" i="16"/>
  <c r="P147" i="16"/>
  <c r="A147" i="16"/>
  <c r="AC146" i="16"/>
  <c r="AA146" i="16"/>
  <c r="Y146" i="16"/>
  <c r="Z146" i="16" s="1"/>
  <c r="V146" i="16"/>
  <c r="P146" i="16"/>
  <c r="W146" i="16" s="1"/>
  <c r="A146" i="16"/>
  <c r="AC145" i="16"/>
  <c r="AA145" i="16"/>
  <c r="Y145" i="16"/>
  <c r="Z145" i="16" s="1"/>
  <c r="W145" i="16"/>
  <c r="V145" i="16"/>
  <c r="P145" i="16"/>
  <c r="A145" i="16"/>
  <c r="AC144" i="16"/>
  <c r="AA144" i="16"/>
  <c r="W144" i="16"/>
  <c r="V144" i="16"/>
  <c r="Y144" i="16" s="1"/>
  <c r="Z144" i="16" s="1"/>
  <c r="P144" i="16"/>
  <c r="A144" i="16"/>
  <c r="AC143" i="16"/>
  <c r="AA143" i="16"/>
  <c r="Y143" i="16"/>
  <c r="Z143" i="16" s="1"/>
  <c r="W143" i="16"/>
  <c r="V143" i="16"/>
  <c r="P143" i="16"/>
  <c r="A143" i="16"/>
  <c r="AC142" i="16"/>
  <c r="AA142" i="16"/>
  <c r="Y142" i="16"/>
  <c r="Z142" i="16" s="1"/>
  <c r="V142" i="16"/>
  <c r="P142" i="16"/>
  <c r="W142" i="16" s="1"/>
  <c r="A142" i="16"/>
  <c r="AC141" i="16"/>
  <c r="AA141" i="16"/>
  <c r="Y141" i="16"/>
  <c r="Z141" i="16" s="1"/>
  <c r="W141" i="16"/>
  <c r="V141" i="16"/>
  <c r="P141" i="16"/>
  <c r="A141" i="16"/>
  <c r="AC140" i="16"/>
  <c r="AA140" i="16"/>
  <c r="W140" i="16"/>
  <c r="V140" i="16"/>
  <c r="Y140" i="16" s="1"/>
  <c r="Z140" i="16" s="1"/>
  <c r="P140" i="16"/>
  <c r="A140" i="16"/>
  <c r="AC139" i="16"/>
  <c r="AA139" i="16"/>
  <c r="Y139" i="16"/>
  <c r="Z139" i="16" s="1"/>
  <c r="W139" i="16"/>
  <c r="V139" i="16"/>
  <c r="P139" i="16"/>
  <c r="A139" i="16"/>
  <c r="AC138" i="16"/>
  <c r="AA138" i="16"/>
  <c r="Y138" i="16"/>
  <c r="Z138" i="16" s="1"/>
  <c r="V138" i="16"/>
  <c r="P138" i="16"/>
  <c r="W138" i="16" s="1"/>
  <c r="A138" i="16"/>
  <c r="AC137" i="16"/>
  <c r="AA137" i="16"/>
  <c r="Y137" i="16"/>
  <c r="Z137" i="16" s="1"/>
  <c r="W137" i="16"/>
  <c r="V137" i="16"/>
  <c r="P137" i="16"/>
  <c r="A137" i="16"/>
  <c r="AC136" i="16"/>
  <c r="AA136" i="16"/>
  <c r="W136" i="16"/>
  <c r="V136" i="16"/>
  <c r="Y136" i="16" s="1"/>
  <c r="Z136" i="16" s="1"/>
  <c r="P136" i="16"/>
  <c r="A136" i="16"/>
  <c r="AC135" i="16"/>
  <c r="AA135" i="16"/>
  <c r="Y135" i="16"/>
  <c r="Z135" i="16" s="1"/>
  <c r="W135" i="16"/>
  <c r="V135" i="16"/>
  <c r="P135" i="16"/>
  <c r="A135" i="16"/>
  <c r="AC134" i="16"/>
  <c r="AA134" i="16"/>
  <c r="Y134" i="16"/>
  <c r="Z134" i="16" s="1"/>
  <c r="V134" i="16"/>
  <c r="P134" i="16"/>
  <c r="W134" i="16" s="1"/>
  <c r="A134" i="16"/>
  <c r="AC133" i="16"/>
  <c r="AA133" i="16"/>
  <c r="Y133" i="16"/>
  <c r="Z133" i="16" s="1"/>
  <c r="W133" i="16"/>
  <c r="V133" i="16"/>
  <c r="P133" i="16"/>
  <c r="A133" i="16"/>
  <c r="AC132" i="16"/>
  <c r="AA132" i="16"/>
  <c r="W132" i="16"/>
  <c r="V132" i="16"/>
  <c r="Y132" i="16" s="1"/>
  <c r="Z132" i="16" s="1"/>
  <c r="P132" i="16"/>
  <c r="A132" i="16"/>
  <c r="AC131" i="16"/>
  <c r="AA131" i="16"/>
  <c r="Y131" i="16"/>
  <c r="Z131" i="16" s="1"/>
  <c r="W131" i="16"/>
  <c r="V131" i="16"/>
  <c r="P131" i="16"/>
  <c r="A131" i="16"/>
  <c r="AC130" i="16"/>
  <c r="AA130" i="16"/>
  <c r="Y130" i="16"/>
  <c r="Z130" i="16" s="1"/>
  <c r="V130" i="16"/>
  <c r="P130" i="16"/>
  <c r="W130" i="16" s="1"/>
  <c r="A130" i="16"/>
  <c r="AC129" i="16"/>
  <c r="AA129" i="16"/>
  <c r="Y129" i="16"/>
  <c r="Z129" i="16" s="1"/>
  <c r="W129" i="16"/>
  <c r="V129" i="16"/>
  <c r="P129" i="16"/>
  <c r="A129" i="16"/>
  <c r="AC128" i="16"/>
  <c r="AA128" i="16"/>
  <c r="W128" i="16"/>
  <c r="V128" i="16"/>
  <c r="Y128" i="16" s="1"/>
  <c r="Z128" i="16" s="1"/>
  <c r="P128" i="16"/>
  <c r="A128" i="16"/>
  <c r="AC127" i="16"/>
  <c r="AA127" i="16"/>
  <c r="Y127" i="16"/>
  <c r="Z127" i="16" s="1"/>
  <c r="W127" i="16"/>
  <c r="V127" i="16"/>
  <c r="P127" i="16"/>
  <c r="A127" i="16"/>
  <c r="AC126" i="16"/>
  <c r="AA126" i="16"/>
  <c r="Y126" i="16"/>
  <c r="Z126" i="16" s="1"/>
  <c r="V126" i="16"/>
  <c r="P126" i="16"/>
  <c r="W126" i="16" s="1"/>
  <c r="A126" i="16"/>
  <c r="AC125" i="16"/>
  <c r="AA125" i="16"/>
  <c r="Y125" i="16"/>
  <c r="Z125" i="16" s="1"/>
  <c r="W125" i="16"/>
  <c r="V125" i="16"/>
  <c r="P125" i="16"/>
  <c r="A125" i="16"/>
  <c r="AC124" i="16"/>
  <c r="AA124" i="16"/>
  <c r="W124" i="16"/>
  <c r="V124" i="16"/>
  <c r="Y124" i="16" s="1"/>
  <c r="Z124" i="16" s="1"/>
  <c r="P124" i="16"/>
  <c r="A124" i="16"/>
  <c r="AC123" i="16"/>
  <c r="AA123" i="16"/>
  <c r="Y123" i="16"/>
  <c r="Z123" i="16" s="1"/>
  <c r="W123" i="16"/>
  <c r="V123" i="16"/>
  <c r="P123" i="16"/>
  <c r="A123" i="16"/>
  <c r="AC122" i="16"/>
  <c r="AA122" i="16"/>
  <c r="Y122" i="16"/>
  <c r="Z122" i="16" s="1"/>
  <c r="V122" i="16"/>
  <c r="P122" i="16"/>
  <c r="W122" i="16" s="1"/>
  <c r="A122" i="16"/>
  <c r="AC121" i="16"/>
  <c r="AA121" i="16"/>
  <c r="Y121" i="16"/>
  <c r="Z121" i="16" s="1"/>
  <c r="W121" i="16"/>
  <c r="V121" i="16"/>
  <c r="P121" i="16"/>
  <c r="A121" i="16"/>
  <c r="AA120" i="16"/>
  <c r="Z120" i="16"/>
  <c r="Y120" i="16"/>
  <c r="R120" i="16"/>
  <c r="Q120" i="16"/>
  <c r="O120" i="16"/>
  <c r="M120" i="16"/>
  <c r="L120" i="16"/>
  <c r="K120" i="16"/>
  <c r="J120" i="16"/>
  <c r="A120" i="16"/>
  <c r="AA119" i="16"/>
  <c r="S119" i="16"/>
  <c r="P119" i="16"/>
  <c r="W119" i="16" s="1"/>
  <c r="A119" i="16"/>
  <c r="AC118" i="16"/>
  <c r="AA118" i="16"/>
  <c r="Z118" i="16"/>
  <c r="W118" i="16"/>
  <c r="V118" i="16"/>
  <c r="Y118" i="16" s="1"/>
  <c r="P118" i="16"/>
  <c r="A118" i="16"/>
  <c r="AC117" i="16"/>
  <c r="AA117" i="16"/>
  <c r="Y117" i="16"/>
  <c r="Z117" i="16" s="1"/>
  <c r="V117" i="16"/>
  <c r="P117" i="16"/>
  <c r="W117" i="16" s="1"/>
  <c r="A117" i="16"/>
  <c r="AC116" i="16"/>
  <c r="AA116" i="16"/>
  <c r="Z116" i="16"/>
  <c r="V116" i="16"/>
  <c r="Y116" i="16" s="1"/>
  <c r="P116" i="16"/>
  <c r="W116" i="16" s="1"/>
  <c r="A116" i="16"/>
  <c r="AC115" i="16"/>
  <c r="AA115" i="16"/>
  <c r="V115" i="16"/>
  <c r="Y115" i="16" s="1"/>
  <c r="Z115" i="16" s="1"/>
  <c r="P115" i="16"/>
  <c r="W115" i="16" s="1"/>
  <c r="A115" i="16"/>
  <c r="AC114" i="16"/>
  <c r="AA114" i="16"/>
  <c r="W114" i="16"/>
  <c r="V114" i="16"/>
  <c r="Y114" i="16" s="1"/>
  <c r="Z114" i="16" s="1"/>
  <c r="P114" i="16"/>
  <c r="A114" i="16"/>
  <c r="AC113" i="16"/>
  <c r="AA113" i="16"/>
  <c r="Y113" i="16"/>
  <c r="Z113" i="16" s="1"/>
  <c r="V113" i="16"/>
  <c r="P113" i="16"/>
  <c r="W113" i="16" s="1"/>
  <c r="A113" i="16"/>
  <c r="AC112" i="16"/>
  <c r="AA112" i="16"/>
  <c r="V112" i="16"/>
  <c r="Y112" i="16" s="1"/>
  <c r="Z112" i="16" s="1"/>
  <c r="P112" i="16"/>
  <c r="W112" i="16" s="1"/>
  <c r="A112" i="16"/>
  <c r="AC111" i="16"/>
  <c r="AA111" i="16"/>
  <c r="Z111" i="16"/>
  <c r="V111" i="16"/>
  <c r="Y111" i="16" s="1"/>
  <c r="P111" i="16"/>
  <c r="W111" i="16" s="1"/>
  <c r="A111" i="16"/>
  <c r="AC110" i="16"/>
  <c r="AA110" i="16"/>
  <c r="W110" i="16"/>
  <c r="V110" i="16"/>
  <c r="Y110" i="16" s="1"/>
  <c r="Z110" i="16" s="1"/>
  <c r="P110" i="16"/>
  <c r="A110" i="16"/>
  <c r="AC109" i="16"/>
  <c r="AA109" i="16"/>
  <c r="Y109" i="16"/>
  <c r="Z109" i="16" s="1"/>
  <c r="V109" i="16"/>
  <c r="P109" i="16"/>
  <c r="W109" i="16" s="1"/>
  <c r="A109" i="16"/>
  <c r="AC108" i="16"/>
  <c r="AA108" i="16"/>
  <c r="V108" i="16"/>
  <c r="Y108" i="16" s="1"/>
  <c r="Z108" i="16" s="1"/>
  <c r="P108" i="16"/>
  <c r="W108" i="16" s="1"/>
  <c r="A108" i="16"/>
  <c r="AC107" i="16"/>
  <c r="AA107" i="16"/>
  <c r="Z107" i="16"/>
  <c r="V107" i="16"/>
  <c r="Y107" i="16" s="1"/>
  <c r="P107" i="16"/>
  <c r="W107" i="16" s="1"/>
  <c r="A107" i="16"/>
  <c r="AC106" i="16"/>
  <c r="AA106" i="16"/>
  <c r="Z106" i="16"/>
  <c r="W106" i="16"/>
  <c r="V106" i="16"/>
  <c r="Y106" i="16" s="1"/>
  <c r="P106" i="16"/>
  <c r="A106" i="16"/>
  <c r="AA105" i="16"/>
  <c r="N105" i="16"/>
  <c r="A105" i="16"/>
  <c r="AA104" i="16"/>
  <c r="Y104" i="16"/>
  <c r="Z104" i="16" s="1"/>
  <c r="V104" i="16"/>
  <c r="P104" i="16"/>
  <c r="W104" i="16" s="1"/>
  <c r="N104" i="16"/>
  <c r="AC104" i="16" s="1"/>
  <c r="A104" i="16"/>
  <c r="AC103" i="16"/>
  <c r="AA103" i="16"/>
  <c r="Y103" i="16"/>
  <c r="Z103" i="16" s="1"/>
  <c r="V103" i="16"/>
  <c r="P103" i="16"/>
  <c r="W103" i="16" s="1"/>
  <c r="A103" i="16"/>
  <c r="AA102" i="16"/>
  <c r="V102" i="16"/>
  <c r="Y102" i="16" s="1"/>
  <c r="Z102" i="16" s="1"/>
  <c r="P102" i="16"/>
  <c r="W102" i="16" s="1"/>
  <c r="N102" i="16"/>
  <c r="AC102" i="16" s="1"/>
  <c r="A102" i="16"/>
  <c r="AC101" i="16"/>
  <c r="AA101" i="16"/>
  <c r="V101" i="16"/>
  <c r="Y101" i="16" s="1"/>
  <c r="Z101" i="16" s="1"/>
  <c r="N101" i="16"/>
  <c r="A101" i="16"/>
  <c r="AC100" i="16"/>
  <c r="AA100" i="16"/>
  <c r="V100" i="16"/>
  <c r="Y100" i="16" s="1"/>
  <c r="Z100" i="16" s="1"/>
  <c r="P100" i="16"/>
  <c r="W100" i="16" s="1"/>
  <c r="A100" i="16"/>
  <c r="AC99" i="16"/>
  <c r="AA99" i="16"/>
  <c r="W99" i="16"/>
  <c r="V99" i="16"/>
  <c r="Y99" i="16" s="1"/>
  <c r="Z99" i="16" s="1"/>
  <c r="P99" i="16"/>
  <c r="A99" i="16"/>
  <c r="AA98" i="16"/>
  <c r="Z98" i="16"/>
  <c r="Y98" i="16"/>
  <c r="S98" i="16"/>
  <c r="R98" i="16"/>
  <c r="Q98" i="16"/>
  <c r="O98" i="16"/>
  <c r="N98" i="16"/>
  <c r="P98" i="16" s="1"/>
  <c r="M98" i="16"/>
  <c r="L98" i="16"/>
  <c r="K98" i="16"/>
  <c r="J98" i="16"/>
  <c r="A98" i="16"/>
  <c r="AC97" i="16"/>
  <c r="AA97" i="16"/>
  <c r="Z97" i="16"/>
  <c r="Y97" i="16"/>
  <c r="V97" i="16"/>
  <c r="P97" i="16"/>
  <c r="W97" i="16" s="1"/>
  <c r="A97" i="16"/>
  <c r="AA96" i="16"/>
  <c r="Y96" i="16"/>
  <c r="Z96" i="16" s="1"/>
  <c r="S96" i="16"/>
  <c r="R96" i="16"/>
  <c r="Q96" i="16"/>
  <c r="O96" i="16"/>
  <c r="P96" i="16" s="1"/>
  <c r="N96" i="16"/>
  <c r="M96" i="16"/>
  <c r="L96" i="16"/>
  <c r="K96" i="16"/>
  <c r="J96" i="16"/>
  <c r="A96" i="16"/>
  <c r="AC95" i="16"/>
  <c r="AA95" i="16"/>
  <c r="W95" i="16"/>
  <c r="V95" i="16"/>
  <c r="Y95" i="16" s="1"/>
  <c r="Z95" i="16" s="1"/>
  <c r="P95" i="16"/>
  <c r="A95" i="16"/>
  <c r="AC94" i="16"/>
  <c r="AA94" i="16"/>
  <c r="Y94" i="16"/>
  <c r="Z94" i="16" s="1"/>
  <c r="V94" i="16"/>
  <c r="P94" i="16"/>
  <c r="W94" i="16" s="1"/>
  <c r="A94" i="16"/>
  <c r="AC93" i="16"/>
  <c r="AA93" i="16"/>
  <c r="Y93" i="16"/>
  <c r="Z93" i="16" s="1"/>
  <c r="V93" i="16"/>
  <c r="P93" i="16"/>
  <c r="W93" i="16" s="1"/>
  <c r="A93" i="16"/>
  <c r="AA92" i="16"/>
  <c r="Z92" i="16"/>
  <c r="Y92" i="16"/>
  <c r="S92" i="16"/>
  <c r="R92" i="16"/>
  <c r="Q92" i="16"/>
  <c r="P92" i="16"/>
  <c r="O92" i="16"/>
  <c r="N92" i="16"/>
  <c r="M92" i="16"/>
  <c r="L92" i="16"/>
  <c r="K92" i="16"/>
  <c r="J92" i="16"/>
  <c r="A92" i="16"/>
  <c r="AC91" i="16"/>
  <c r="AA91" i="16"/>
  <c r="Y91" i="16"/>
  <c r="Z91" i="16" s="1"/>
  <c r="V91" i="16"/>
  <c r="P91" i="16"/>
  <c r="W91" i="16" s="1"/>
  <c r="A91" i="16"/>
  <c r="AC90" i="16"/>
  <c r="AA90" i="16"/>
  <c r="Y90" i="16"/>
  <c r="Z90" i="16" s="1"/>
  <c r="V90" i="16"/>
  <c r="P90" i="16"/>
  <c r="W90" i="16" s="1"/>
  <c r="A90" i="16"/>
  <c r="AC89" i="16"/>
  <c r="AA89" i="16"/>
  <c r="W89" i="16"/>
  <c r="V89" i="16"/>
  <c r="Y89" i="16" s="1"/>
  <c r="Z89" i="16" s="1"/>
  <c r="P89" i="16"/>
  <c r="A89" i="16"/>
  <c r="AC88" i="16"/>
  <c r="AA88" i="16"/>
  <c r="W88" i="16"/>
  <c r="V88" i="16"/>
  <c r="Y88" i="16" s="1"/>
  <c r="Z88" i="16" s="1"/>
  <c r="P88" i="16"/>
  <c r="A88" i="16"/>
  <c r="AC87" i="16"/>
  <c r="AA87" i="16"/>
  <c r="Y87" i="16"/>
  <c r="Z87" i="16" s="1"/>
  <c r="V87" i="16"/>
  <c r="P87" i="16"/>
  <c r="W87" i="16" s="1"/>
  <c r="A87" i="16"/>
  <c r="AA86" i="16"/>
  <c r="Y86" i="16"/>
  <c r="Z86" i="16" s="1"/>
  <c r="S86" i="16"/>
  <c r="R86" i="16"/>
  <c r="Q86" i="16"/>
  <c r="O86" i="16"/>
  <c r="P86" i="16" s="1"/>
  <c r="N86" i="16"/>
  <c r="M86" i="16"/>
  <c r="L86" i="16"/>
  <c r="K86" i="16"/>
  <c r="J86" i="16"/>
  <c r="A86" i="16"/>
  <c r="AC85" i="16"/>
  <c r="AA85" i="16"/>
  <c r="W85" i="16"/>
  <c r="V85" i="16"/>
  <c r="Y85" i="16" s="1"/>
  <c r="Z85" i="16" s="1"/>
  <c r="P85" i="16"/>
  <c r="A85" i="16"/>
  <c r="AC84" i="16"/>
  <c r="AA84" i="16"/>
  <c r="Y84" i="16"/>
  <c r="Z84" i="16" s="1"/>
  <c r="V84" i="16"/>
  <c r="P84" i="16"/>
  <c r="W84" i="16" s="1"/>
  <c r="A84" i="16"/>
  <c r="AC83" i="16"/>
  <c r="AA83" i="16"/>
  <c r="V83" i="16"/>
  <c r="Y83" i="16" s="1"/>
  <c r="Z83" i="16" s="1"/>
  <c r="P83" i="16"/>
  <c r="W83" i="16" s="1"/>
  <c r="A83" i="16"/>
  <c r="AC82" i="16"/>
  <c r="AA82" i="16"/>
  <c r="W82" i="16"/>
  <c r="V82" i="16"/>
  <c r="Y82" i="16" s="1"/>
  <c r="Z82" i="16" s="1"/>
  <c r="P82" i="16"/>
  <c r="A82" i="16"/>
  <c r="AC81" i="16"/>
  <c r="AA81" i="16"/>
  <c r="W81" i="16"/>
  <c r="V81" i="16"/>
  <c r="Y81" i="16" s="1"/>
  <c r="Z81" i="16" s="1"/>
  <c r="P81" i="16"/>
  <c r="A81" i="16"/>
  <c r="AC80" i="16"/>
  <c r="AA80" i="16"/>
  <c r="Y80" i="16"/>
  <c r="Z80" i="16" s="1"/>
  <c r="V80" i="16"/>
  <c r="P80" i="16"/>
  <c r="W80" i="16" s="1"/>
  <c r="A80" i="16"/>
  <c r="AC79" i="16"/>
  <c r="AA79" i="16"/>
  <c r="V79" i="16"/>
  <c r="Y79" i="16" s="1"/>
  <c r="Z79" i="16" s="1"/>
  <c r="P79" i="16"/>
  <c r="W79" i="16" s="1"/>
  <c r="A79" i="16"/>
  <c r="AC78" i="16"/>
  <c r="AA78" i="16"/>
  <c r="W78" i="16"/>
  <c r="V78" i="16"/>
  <c r="Y78" i="16" s="1"/>
  <c r="Z78" i="16" s="1"/>
  <c r="P78" i="16"/>
  <c r="A78" i="16"/>
  <c r="AC77" i="16"/>
  <c r="AA77" i="16"/>
  <c r="W77" i="16"/>
  <c r="V77" i="16"/>
  <c r="Y77" i="16" s="1"/>
  <c r="Z77" i="16" s="1"/>
  <c r="P77" i="16"/>
  <c r="A77" i="16"/>
  <c r="AC76" i="16"/>
  <c r="AA76" i="16"/>
  <c r="Y76" i="16"/>
  <c r="Z76" i="16" s="1"/>
  <c r="V76" i="16"/>
  <c r="P76" i="16"/>
  <c r="W76" i="16" s="1"/>
  <c r="A76" i="16"/>
  <c r="AC75" i="16"/>
  <c r="AA75" i="16"/>
  <c r="V75" i="16"/>
  <c r="Y75" i="16" s="1"/>
  <c r="Z75" i="16" s="1"/>
  <c r="P75" i="16"/>
  <c r="W75" i="16" s="1"/>
  <c r="A75" i="16"/>
  <c r="AC74" i="16"/>
  <c r="AA74" i="16"/>
  <c r="W74" i="16"/>
  <c r="V74" i="16"/>
  <c r="Y74" i="16" s="1"/>
  <c r="Z74" i="16" s="1"/>
  <c r="P74" i="16"/>
  <c r="A74" i="16"/>
  <c r="AC73" i="16"/>
  <c r="AA73" i="16"/>
  <c r="W73" i="16"/>
  <c r="V73" i="16"/>
  <c r="Y73" i="16" s="1"/>
  <c r="Z73" i="16" s="1"/>
  <c r="P73" i="16"/>
  <c r="A73" i="16"/>
  <c r="AC72" i="16"/>
  <c r="AA72" i="16"/>
  <c r="Y72" i="16"/>
  <c r="Z72" i="16" s="1"/>
  <c r="V72" i="16"/>
  <c r="P72" i="16"/>
  <c r="W72" i="16" s="1"/>
  <c r="A72" i="16"/>
  <c r="AC71" i="16"/>
  <c r="AA71" i="16"/>
  <c r="V71" i="16"/>
  <c r="Y71" i="16" s="1"/>
  <c r="Z71" i="16" s="1"/>
  <c r="P71" i="16"/>
  <c r="W71" i="16" s="1"/>
  <c r="A71" i="16"/>
  <c r="AC70" i="16"/>
  <c r="AA70" i="16"/>
  <c r="W70" i="16"/>
  <c r="V70" i="16"/>
  <c r="Y70" i="16" s="1"/>
  <c r="Z70" i="16" s="1"/>
  <c r="P70" i="16"/>
  <c r="A70" i="16"/>
  <c r="AC69" i="16"/>
  <c r="AA69" i="16"/>
  <c r="W69" i="16"/>
  <c r="V69" i="16"/>
  <c r="Y69" i="16" s="1"/>
  <c r="Z69" i="16" s="1"/>
  <c r="P69" i="16"/>
  <c r="A69" i="16"/>
  <c r="AC68" i="16"/>
  <c r="AA68" i="16"/>
  <c r="Y68" i="16"/>
  <c r="Z68" i="16" s="1"/>
  <c r="V68" i="16"/>
  <c r="P68" i="16"/>
  <c r="W68" i="16" s="1"/>
  <c r="A68" i="16"/>
  <c r="AC67" i="16"/>
  <c r="AA67" i="16"/>
  <c r="V67" i="16"/>
  <c r="Y67" i="16" s="1"/>
  <c r="Z67" i="16" s="1"/>
  <c r="P67" i="16"/>
  <c r="W67" i="16" s="1"/>
  <c r="A67" i="16"/>
  <c r="AC66" i="16"/>
  <c r="AA66" i="16"/>
  <c r="W66" i="16"/>
  <c r="V66" i="16"/>
  <c r="Y66" i="16" s="1"/>
  <c r="Z66" i="16" s="1"/>
  <c r="P66" i="16"/>
  <c r="A66" i="16"/>
  <c r="AC65" i="16"/>
  <c r="AA65" i="16"/>
  <c r="W65" i="16"/>
  <c r="V65" i="16"/>
  <c r="Y65" i="16" s="1"/>
  <c r="Z65" i="16" s="1"/>
  <c r="P65" i="16"/>
  <c r="A65" i="16"/>
  <c r="AC64" i="16"/>
  <c r="AA64" i="16"/>
  <c r="Y64" i="16"/>
  <c r="Z64" i="16" s="1"/>
  <c r="V64" i="16"/>
  <c r="P64" i="16"/>
  <c r="W64" i="16" s="1"/>
  <c r="A64" i="16"/>
  <c r="AC63" i="16"/>
  <c r="AA63" i="16"/>
  <c r="V63" i="16"/>
  <c r="Y63" i="16" s="1"/>
  <c r="Z63" i="16" s="1"/>
  <c r="P63" i="16"/>
  <c r="W63" i="16" s="1"/>
  <c r="A63" i="16"/>
  <c r="AA62" i="16"/>
  <c r="Z62" i="16"/>
  <c r="Y62" i="16"/>
  <c r="S62" i="16"/>
  <c r="R62" i="16"/>
  <c r="Q62" i="16"/>
  <c r="O62" i="16"/>
  <c r="M62" i="16"/>
  <c r="L62" i="16"/>
  <c r="K62" i="16"/>
  <c r="A62" i="16"/>
  <c r="AC61" i="16"/>
  <c r="AA61" i="16"/>
  <c r="Y61" i="16"/>
  <c r="Z61" i="16" s="1"/>
  <c r="V61" i="16"/>
  <c r="P61" i="16"/>
  <c r="W61" i="16" s="1"/>
  <c r="A61" i="16"/>
  <c r="AA60" i="16"/>
  <c r="Y60" i="16"/>
  <c r="Z60" i="16" s="1"/>
  <c r="V60" i="16"/>
  <c r="P60" i="16"/>
  <c r="W60" i="16" s="1"/>
  <c r="N60" i="16"/>
  <c r="AC60" i="16" s="1"/>
  <c r="A60" i="16"/>
  <c r="AC59" i="16"/>
  <c r="AA59" i="16"/>
  <c r="W59" i="16"/>
  <c r="V59" i="16"/>
  <c r="Y59" i="16" s="1"/>
  <c r="Z59" i="16" s="1"/>
  <c r="P59" i="16"/>
  <c r="A59" i="16"/>
  <c r="AC58" i="16"/>
  <c r="AA58" i="16"/>
  <c r="P58" i="16"/>
  <c r="W58" i="16" s="1"/>
  <c r="J58" i="16"/>
  <c r="A58" i="16"/>
  <c r="AC57" i="16"/>
  <c r="AA57" i="16"/>
  <c r="W57" i="16"/>
  <c r="V57" i="16"/>
  <c r="Y57" i="16" s="1"/>
  <c r="Z57" i="16" s="1"/>
  <c r="P57" i="16"/>
  <c r="A57" i="16"/>
  <c r="AC56" i="16"/>
  <c r="AA56" i="16"/>
  <c r="W56" i="16"/>
  <c r="V56" i="16"/>
  <c r="Y56" i="16" s="1"/>
  <c r="Z56" i="16" s="1"/>
  <c r="P56" i="16"/>
  <c r="A56" i="16"/>
  <c r="AC55" i="16"/>
  <c r="AA55" i="16"/>
  <c r="Y55" i="16"/>
  <c r="Z55" i="16" s="1"/>
  <c r="V55" i="16"/>
  <c r="P55" i="16"/>
  <c r="W55" i="16" s="1"/>
  <c r="A55" i="16"/>
  <c r="AC54" i="16"/>
  <c r="AA54" i="16"/>
  <c r="V54" i="16"/>
  <c r="Y54" i="16" s="1"/>
  <c r="Z54" i="16" s="1"/>
  <c r="P54" i="16"/>
  <c r="W54" i="16" s="1"/>
  <c r="A54" i="16"/>
  <c r="AC53" i="16"/>
  <c r="AA53" i="16"/>
  <c r="W53" i="16"/>
  <c r="V53" i="16"/>
  <c r="Y53" i="16" s="1"/>
  <c r="Z53" i="16" s="1"/>
  <c r="P53" i="16"/>
  <c r="A53" i="16"/>
  <c r="AC52" i="16"/>
  <c r="AA52" i="16"/>
  <c r="W52" i="16"/>
  <c r="V52" i="16"/>
  <c r="Y52" i="16" s="1"/>
  <c r="Z52" i="16" s="1"/>
  <c r="P52" i="16"/>
  <c r="A52" i="16"/>
  <c r="AC51" i="16"/>
  <c r="AA51" i="16"/>
  <c r="Y51" i="16"/>
  <c r="Z51" i="16" s="1"/>
  <c r="V51" i="16"/>
  <c r="P51" i="16"/>
  <c r="W51" i="16" s="1"/>
  <c r="A51" i="16"/>
  <c r="AC50" i="16"/>
  <c r="AA50" i="16"/>
  <c r="V50" i="16"/>
  <c r="Y50" i="16" s="1"/>
  <c r="Z50" i="16" s="1"/>
  <c r="P50" i="16"/>
  <c r="W50" i="16" s="1"/>
  <c r="A50" i="16"/>
  <c r="AC49" i="16"/>
  <c r="AA49" i="16"/>
  <c r="W49" i="16"/>
  <c r="V49" i="16"/>
  <c r="Y49" i="16" s="1"/>
  <c r="Z49" i="16" s="1"/>
  <c r="P49" i="16"/>
  <c r="A49" i="16"/>
  <c r="AC48" i="16"/>
  <c r="AA48" i="16"/>
  <c r="W48" i="16"/>
  <c r="V48" i="16"/>
  <c r="Y48" i="16" s="1"/>
  <c r="Z48" i="16" s="1"/>
  <c r="P48" i="16"/>
  <c r="A48" i="16"/>
  <c r="AC47" i="16"/>
  <c r="AA47" i="16"/>
  <c r="Y47" i="16"/>
  <c r="Z47" i="16" s="1"/>
  <c r="V47" i="16"/>
  <c r="P47" i="16"/>
  <c r="W47" i="16" s="1"/>
  <c r="A47" i="16"/>
  <c r="AC46" i="16"/>
  <c r="AA46" i="16"/>
  <c r="V46" i="16"/>
  <c r="Y46" i="16" s="1"/>
  <c r="Z46" i="16" s="1"/>
  <c r="P46" i="16"/>
  <c r="W46" i="16" s="1"/>
  <c r="A46" i="16"/>
  <c r="AC45" i="16"/>
  <c r="AA45" i="16"/>
  <c r="W45" i="16"/>
  <c r="V45" i="16"/>
  <c r="Y45" i="16" s="1"/>
  <c r="Z45" i="16" s="1"/>
  <c r="P45" i="16"/>
  <c r="A45" i="16"/>
  <c r="AC44" i="16"/>
  <c r="AA44" i="16"/>
  <c r="W44" i="16"/>
  <c r="V44" i="16"/>
  <c r="Y44" i="16" s="1"/>
  <c r="Z44" i="16" s="1"/>
  <c r="P44" i="16"/>
  <c r="A44" i="16"/>
  <c r="AC43" i="16"/>
  <c r="AA43" i="16"/>
  <c r="Y43" i="16"/>
  <c r="Z43" i="16" s="1"/>
  <c r="V43" i="16"/>
  <c r="P43" i="16"/>
  <c r="W43" i="16" s="1"/>
  <c r="A43" i="16"/>
  <c r="AA42" i="16"/>
  <c r="V42" i="16"/>
  <c r="Y42" i="16" s="1"/>
  <c r="Z42" i="16" s="1"/>
  <c r="P42" i="16"/>
  <c r="W42" i="16" s="1"/>
  <c r="N42" i="16"/>
  <c r="N62" i="16" s="1"/>
  <c r="P62" i="16" s="1"/>
  <c r="A42" i="16"/>
  <c r="AC41" i="16"/>
  <c r="AA41" i="16"/>
  <c r="W41" i="16"/>
  <c r="V41" i="16"/>
  <c r="Y41" i="16" s="1"/>
  <c r="Z41" i="16" s="1"/>
  <c r="P41" i="16"/>
  <c r="A41" i="16"/>
  <c r="AC40" i="16"/>
  <c r="AA40" i="16"/>
  <c r="Y40" i="16"/>
  <c r="Z40" i="16" s="1"/>
  <c r="V40" i="16"/>
  <c r="P40" i="16"/>
  <c r="W40" i="16" s="1"/>
  <c r="A40" i="16"/>
  <c r="AC39" i="16"/>
  <c r="AA39" i="16"/>
  <c r="Y39" i="16"/>
  <c r="Z39" i="16" s="1"/>
  <c r="V39" i="16"/>
  <c r="P39" i="16"/>
  <c r="W39" i="16" s="1"/>
  <c r="A39" i="16"/>
  <c r="AC38" i="16"/>
  <c r="AA38" i="16"/>
  <c r="W38" i="16"/>
  <c r="V38" i="16"/>
  <c r="Y38" i="16" s="1"/>
  <c r="Z38" i="16" s="1"/>
  <c r="P38" i="16"/>
  <c r="A38" i="16"/>
  <c r="AC37" i="16"/>
  <c r="AA37" i="16"/>
  <c r="W37" i="16"/>
  <c r="V37" i="16"/>
  <c r="Y37" i="16" s="1"/>
  <c r="Z37" i="16" s="1"/>
  <c r="P37" i="16"/>
  <c r="A37" i="16"/>
  <c r="AC36" i="16"/>
  <c r="AA36" i="16"/>
  <c r="Y36" i="16"/>
  <c r="Z36" i="16" s="1"/>
  <c r="V36" i="16"/>
  <c r="P36" i="16"/>
  <c r="W36" i="16" s="1"/>
  <c r="A36" i="16"/>
  <c r="AC35" i="16"/>
  <c r="AA35" i="16"/>
  <c r="V35" i="16"/>
  <c r="Y35" i="16" s="1"/>
  <c r="Z35" i="16" s="1"/>
  <c r="P35" i="16"/>
  <c r="W35" i="16" s="1"/>
  <c r="A35" i="16"/>
  <c r="AC34" i="16"/>
  <c r="AA34" i="16"/>
  <c r="V34" i="16"/>
  <c r="Y34" i="16" s="1"/>
  <c r="Z34" i="16" s="1"/>
  <c r="P34" i="16"/>
  <c r="W34" i="16" s="1"/>
  <c r="A34" i="16"/>
  <c r="AC33" i="16"/>
  <c r="AA33" i="16"/>
  <c r="Z33" i="16"/>
  <c r="W33" i="16"/>
  <c r="V33" i="16"/>
  <c r="Y33" i="16" s="1"/>
  <c r="P33" i="16"/>
  <c r="A33" i="16"/>
  <c r="AC32" i="16"/>
  <c r="AA32" i="16"/>
  <c r="Y32" i="16"/>
  <c r="Z32" i="16" s="1"/>
  <c r="V32" i="16"/>
  <c r="P32" i="16"/>
  <c r="W32" i="16" s="1"/>
  <c r="A32" i="16"/>
  <c r="AC31" i="16"/>
  <c r="AA31" i="16"/>
  <c r="V31" i="16"/>
  <c r="Y31" i="16" s="1"/>
  <c r="Z31" i="16" s="1"/>
  <c r="P31" i="16"/>
  <c r="W31" i="16" s="1"/>
  <c r="A31" i="16"/>
  <c r="AA30" i="16"/>
  <c r="Y30" i="16"/>
  <c r="Z30" i="16" s="1"/>
  <c r="V30" i="16"/>
  <c r="P30" i="16"/>
  <c r="W30" i="16" s="1"/>
  <c r="A30" i="16"/>
  <c r="AC29" i="16"/>
  <c r="AA29" i="16"/>
  <c r="Y29" i="16"/>
  <c r="Z29" i="16" s="1"/>
  <c r="V29" i="16"/>
  <c r="P29" i="16"/>
  <c r="W29" i="16" s="1"/>
  <c r="A29" i="16"/>
  <c r="AC28" i="16"/>
  <c r="AA28" i="16"/>
  <c r="Z28" i="16"/>
  <c r="W28" i="16"/>
  <c r="V28" i="16"/>
  <c r="Y28" i="16" s="1"/>
  <c r="P28" i="16"/>
  <c r="A28" i="16"/>
  <c r="AC27" i="16"/>
  <c r="AA27" i="16"/>
  <c r="Y27" i="16"/>
  <c r="Z27" i="16" s="1"/>
  <c r="V27" i="16"/>
  <c r="P27" i="16"/>
  <c r="W27" i="16" s="1"/>
  <c r="A27" i="16"/>
  <c r="AC26" i="16"/>
  <c r="AA26" i="16"/>
  <c r="Y26" i="16"/>
  <c r="Z26" i="16" s="1"/>
  <c r="V26" i="16"/>
  <c r="P26" i="16"/>
  <c r="W26" i="16" s="1"/>
  <c r="A26" i="16"/>
  <c r="AC25" i="16"/>
  <c r="AA25" i="16"/>
  <c r="Y25" i="16"/>
  <c r="Z25" i="16" s="1"/>
  <c r="V25" i="16"/>
  <c r="P25" i="16"/>
  <c r="W25" i="16" s="1"/>
  <c r="A25" i="16"/>
  <c r="AC24" i="16"/>
  <c r="AA24" i="16"/>
  <c r="Z24" i="16"/>
  <c r="W24" i="16"/>
  <c r="V24" i="16"/>
  <c r="Y24" i="16" s="1"/>
  <c r="P24" i="16"/>
  <c r="A24" i="16"/>
  <c r="AC23" i="16"/>
  <c r="AA23" i="16"/>
  <c r="Y23" i="16"/>
  <c r="Z23" i="16" s="1"/>
  <c r="V23" i="16"/>
  <c r="P23" i="16"/>
  <c r="W23" i="16" s="1"/>
  <c r="A23" i="16"/>
  <c r="AC22" i="16"/>
  <c r="AA22" i="16"/>
  <c r="Y22" i="16"/>
  <c r="Z22" i="16" s="1"/>
  <c r="V22" i="16"/>
  <c r="P22" i="16"/>
  <c r="W22" i="16" s="1"/>
  <c r="A22" i="16"/>
  <c r="AC21" i="16"/>
  <c r="AA21" i="16"/>
  <c r="Y21" i="16"/>
  <c r="Z21" i="16" s="1"/>
  <c r="V21" i="16"/>
  <c r="P21" i="16"/>
  <c r="W21" i="16" s="1"/>
  <c r="A21" i="16"/>
  <c r="AC20" i="16"/>
  <c r="AA20" i="16"/>
  <c r="Z20" i="16"/>
  <c r="W20" i="16"/>
  <c r="V20" i="16"/>
  <c r="Y20" i="16" s="1"/>
  <c r="P20" i="16"/>
  <c r="A20" i="16"/>
  <c r="AC19" i="16"/>
  <c r="AA19" i="16"/>
  <c r="Y19" i="16"/>
  <c r="Z19" i="16" s="1"/>
  <c r="V19" i="16"/>
  <c r="P19" i="16"/>
  <c r="W19" i="16" s="1"/>
  <c r="A19" i="16"/>
  <c r="AC18" i="16"/>
  <c r="AA18" i="16"/>
  <c r="Y18" i="16"/>
  <c r="Z18" i="16" s="1"/>
  <c r="V18" i="16"/>
  <c r="P18" i="16"/>
  <c r="W18" i="16" s="1"/>
  <c r="A18" i="16"/>
  <c r="AC17" i="16"/>
  <c r="AA17" i="16"/>
  <c r="Y17" i="16"/>
  <c r="Z17" i="16" s="1"/>
  <c r="V17" i="16"/>
  <c r="P17" i="16"/>
  <c r="W17" i="16" s="1"/>
  <c r="A17" i="16"/>
  <c r="AC16" i="16"/>
  <c r="AA16" i="16"/>
  <c r="Z16" i="16"/>
  <c r="W16" i="16"/>
  <c r="V16" i="16"/>
  <c r="Y16" i="16" s="1"/>
  <c r="P16" i="16"/>
  <c r="A16" i="16"/>
  <c r="AC15" i="16"/>
  <c r="AA15" i="16"/>
  <c r="Y15" i="16"/>
  <c r="Z15" i="16" s="1"/>
  <c r="V15" i="16"/>
  <c r="P15" i="16"/>
  <c r="W15" i="16" s="1"/>
  <c r="A15" i="16"/>
  <c r="AC14" i="16"/>
  <c r="AA14" i="16"/>
  <c r="Y14" i="16"/>
  <c r="Z14" i="16" s="1"/>
  <c r="V14" i="16"/>
  <c r="P14" i="16"/>
  <c r="W14" i="16" s="1"/>
  <c r="A14" i="16"/>
  <c r="AC13" i="16"/>
  <c r="AA13" i="16"/>
  <c r="Y13" i="16"/>
  <c r="Z13" i="16" s="1"/>
  <c r="V13" i="16"/>
  <c r="P13" i="16"/>
  <c r="W13" i="16" s="1"/>
  <c r="A13" i="16"/>
  <c r="AC12" i="16"/>
  <c r="AA12" i="16"/>
  <c r="Z12" i="16"/>
  <c r="W12" i="16"/>
  <c r="V12" i="16"/>
  <c r="Y12" i="16" s="1"/>
  <c r="P12" i="16"/>
  <c r="A12" i="16"/>
  <c r="AC11" i="16"/>
  <c r="AA11" i="16"/>
  <c r="Y11" i="16"/>
  <c r="Z11" i="16" s="1"/>
  <c r="V11" i="16"/>
  <c r="P11" i="16"/>
  <c r="W11" i="16" s="1"/>
  <c r="A11" i="16"/>
  <c r="AC10" i="16"/>
  <c r="AA10" i="16"/>
  <c r="Y10" i="16"/>
  <c r="Z10" i="16" s="1"/>
  <c r="V10" i="16"/>
  <c r="P10" i="16"/>
  <c r="W10" i="16" s="1"/>
  <c r="A10" i="16"/>
  <c r="AC9" i="16"/>
  <c r="AA9" i="16"/>
  <c r="Y9" i="16"/>
  <c r="Z9" i="16" s="1"/>
  <c r="V9" i="16"/>
  <c r="P9" i="16"/>
  <c r="W9" i="16" s="1"/>
  <c r="A9" i="16"/>
  <c r="AC8" i="16"/>
  <c r="AA8" i="16"/>
  <c r="Z8" i="16"/>
  <c r="W8" i="16"/>
  <c r="V8" i="16"/>
  <c r="Y8" i="16" s="1"/>
  <c r="P8" i="16"/>
  <c r="A8" i="16"/>
  <c r="AC7" i="16"/>
  <c r="AA7" i="16"/>
  <c r="Y7" i="16"/>
  <c r="Z7" i="16" s="1"/>
  <c r="V7" i="16"/>
  <c r="P7" i="16"/>
  <c r="W7" i="16" s="1"/>
  <c r="A7" i="16"/>
  <c r="AC6" i="16"/>
  <c r="AA6" i="16"/>
  <c r="Y6" i="16"/>
  <c r="Z6" i="16" s="1"/>
  <c r="V6" i="16"/>
  <c r="P6" i="16"/>
  <c r="W6" i="16" s="1"/>
  <c r="A6" i="16"/>
  <c r="AC5" i="16"/>
  <c r="AA5" i="16"/>
  <c r="Y5" i="16"/>
  <c r="Z5" i="16" s="1"/>
  <c r="V5" i="16"/>
  <c r="P5" i="16"/>
  <c r="W5" i="16" s="1"/>
  <c r="X5" i="16" s="1"/>
  <c r="A5" i="16"/>
  <c r="AA4" i="16"/>
  <c r="Y4" i="16"/>
  <c r="Z4" i="16" s="1"/>
  <c r="S4" i="16"/>
  <c r="R4" i="16"/>
  <c r="Q4" i="16"/>
  <c r="P4" i="16"/>
  <c r="O4" i="16"/>
  <c r="N4" i="16"/>
  <c r="M4" i="16"/>
  <c r="L4" i="16"/>
  <c r="K4" i="16"/>
  <c r="J4" i="16"/>
  <c r="A4" i="16"/>
  <c r="AC3" i="16"/>
  <c r="AA3" i="16"/>
  <c r="X3" i="16"/>
  <c r="V3" i="16"/>
  <c r="Y3" i="16" s="1"/>
  <c r="Z3" i="16" s="1"/>
  <c r="P3" i="16"/>
  <c r="W3" i="16" s="1"/>
  <c r="J3" i="16"/>
  <c r="A3" i="16"/>
  <c r="AA1" i="16"/>
  <c r="Z1" i="16"/>
  <c r="Y1" i="16"/>
  <c r="X1" i="16"/>
  <c r="W1" i="16"/>
  <c r="V1" i="16"/>
  <c r="T1" i="16"/>
  <c r="L1" i="16"/>
  <c r="X6" i="16" l="1"/>
  <c r="X7" i="16" s="1"/>
  <c r="X8" i="16" s="1"/>
  <c r="X9" i="16" s="1"/>
  <c r="X10" i="16" s="1"/>
  <c r="X11" i="16" s="1"/>
  <c r="X12" i="16" s="1"/>
  <c r="X13" i="16" s="1"/>
  <c r="X14" i="16" s="1"/>
  <c r="X15" i="16" s="1"/>
  <c r="X16" i="16" s="1"/>
  <c r="X17" i="16" s="1"/>
  <c r="X18" i="16" s="1"/>
  <c r="X19" i="16" s="1"/>
  <c r="X20" i="16" s="1"/>
  <c r="X21" i="16" s="1"/>
  <c r="X22" i="16" s="1"/>
  <c r="X23" i="16" s="1"/>
  <c r="X24" i="16" s="1"/>
  <c r="X25" i="16" s="1"/>
  <c r="X26" i="16" s="1"/>
  <c r="X27" i="16" s="1"/>
  <c r="X28" i="16" s="1"/>
  <c r="X29" i="16" s="1"/>
  <c r="X30" i="16" s="1"/>
  <c r="X31" i="16" s="1"/>
  <c r="X32" i="16" s="1"/>
  <c r="X33" i="16" s="1"/>
  <c r="X34" i="16" s="1"/>
  <c r="X35" i="16" s="1"/>
  <c r="X36" i="16" s="1"/>
  <c r="X37" i="16" s="1"/>
  <c r="X38" i="16" s="1"/>
  <c r="X39" i="16" s="1"/>
  <c r="X40" i="16" s="1"/>
  <c r="X41" i="16" s="1"/>
  <c r="X42" i="16" s="1"/>
  <c r="X43" i="16" s="1"/>
  <c r="X44" i="16" s="1"/>
  <c r="X45" i="16" s="1"/>
  <c r="X46" i="16" s="1"/>
  <c r="X47" i="16" s="1"/>
  <c r="X48" i="16" s="1"/>
  <c r="X49" i="16" s="1"/>
  <c r="X50" i="16" s="1"/>
  <c r="X51" i="16" s="1"/>
  <c r="X52" i="16" s="1"/>
  <c r="X53" i="16" s="1"/>
  <c r="X54" i="16" s="1"/>
  <c r="X55" i="16" s="1"/>
  <c r="X56" i="16" s="1"/>
  <c r="X57" i="16" s="1"/>
  <c r="X58" i="16" s="1"/>
  <c r="X59" i="16" s="1"/>
  <c r="X60" i="16" s="1"/>
  <c r="X61" i="16" s="1"/>
  <c r="X63" i="16" s="1"/>
  <c r="X64" i="16" s="1"/>
  <c r="X65" i="16" s="1"/>
  <c r="X66" i="16" s="1"/>
  <c r="X67" i="16" s="1"/>
  <c r="X68" i="16" s="1"/>
  <c r="X69" i="16" s="1"/>
  <c r="X70" i="16" s="1"/>
  <c r="X71" i="16" s="1"/>
  <c r="X72" i="16" s="1"/>
  <c r="X73" i="16" s="1"/>
  <c r="X74" i="16" s="1"/>
  <c r="X75" i="16" s="1"/>
  <c r="X76" i="16" s="1"/>
  <c r="X77" i="16" s="1"/>
  <c r="X78" i="16" s="1"/>
  <c r="X79" i="16" s="1"/>
  <c r="X80" i="16" s="1"/>
  <c r="X81" i="16" s="1"/>
  <c r="X82" i="16" s="1"/>
  <c r="X83" i="16" s="1"/>
  <c r="X84" i="16" s="1"/>
  <c r="X85" i="16" s="1"/>
  <c r="X87" i="16" s="1"/>
  <c r="X88" i="16" s="1"/>
  <c r="X89" i="16" s="1"/>
  <c r="X90" i="16" s="1"/>
  <c r="X91" i="16" s="1"/>
  <c r="X93" i="16" s="1"/>
  <c r="X94" i="16" s="1"/>
  <c r="X95" i="16" s="1"/>
  <c r="X97" i="16" s="1"/>
  <c r="X99" i="16" s="1"/>
  <c r="X100" i="16" s="1"/>
  <c r="R483" i="16"/>
  <c r="J62" i="16"/>
  <c r="V58" i="16"/>
  <c r="Y58" i="16" s="1"/>
  <c r="Z58" i="16" s="1"/>
  <c r="L483" i="16"/>
  <c r="V105" i="16"/>
  <c r="Y105" i="16" s="1"/>
  <c r="Z105" i="16" s="1"/>
  <c r="AC105" i="16"/>
  <c r="S120" i="16"/>
  <c r="V119" i="16"/>
  <c r="Y119" i="16" s="1"/>
  <c r="Z119" i="16" s="1"/>
  <c r="AC119" i="16"/>
  <c r="M483" i="16"/>
  <c r="H488" i="16" s="1"/>
  <c r="H495" i="16" s="1"/>
  <c r="Q483" i="16"/>
  <c r="P105" i="16"/>
  <c r="W105" i="16" s="1"/>
  <c r="N120" i="16"/>
  <c r="P120" i="16" s="1"/>
  <c r="AC42" i="16"/>
  <c r="I490" i="16"/>
  <c r="P101" i="16"/>
  <c r="W101" i="16" s="1"/>
  <c r="N222" i="16"/>
  <c r="P222" i="16" s="1"/>
  <c r="J273" i="16"/>
  <c r="V267" i="16"/>
  <c r="Y267" i="16" s="1"/>
  <c r="Z267" i="16" s="1"/>
  <c r="P249" i="16"/>
  <c r="W249" i="16" s="1"/>
  <c r="V249" i="16"/>
  <c r="Y249" i="16" s="1"/>
  <c r="Z249" i="16" s="1"/>
  <c r="AC249" i="16"/>
  <c r="P252" i="16"/>
  <c r="W252" i="16" s="1"/>
  <c r="V252" i="16"/>
  <c r="Y252" i="16" s="1"/>
  <c r="Z252" i="16" s="1"/>
  <c r="AC252" i="16"/>
  <c r="N259" i="16"/>
  <c r="P259" i="16" s="1"/>
  <c r="K483" i="16"/>
  <c r="O483" i="16"/>
  <c r="S483" i="16"/>
  <c r="P232" i="16"/>
  <c r="J393" i="16"/>
  <c r="J483" i="16" s="1"/>
  <c r="I491" i="16"/>
  <c r="K491" i="16" s="1"/>
  <c r="AC247" i="16"/>
  <c r="P286" i="16"/>
  <c r="P298" i="16"/>
  <c r="P312" i="16"/>
  <c r="P353" i="16"/>
  <c r="P424" i="16"/>
  <c r="P427" i="16"/>
  <c r="P386" i="16"/>
  <c r="P478" i="16"/>
  <c r="J488" i="16"/>
  <c r="J495" i="16" s="1"/>
  <c r="P459" i="16"/>
  <c r="P456" i="16"/>
  <c r="N483" i="16" l="1"/>
  <c r="P483" i="16" s="1"/>
  <c r="X101" i="16"/>
  <c r="X102" i="16" s="1"/>
  <c r="X103" i="16" s="1"/>
  <c r="X104" i="16" s="1"/>
  <c r="X105" i="16" s="1"/>
  <c r="X106" i="16" s="1"/>
  <c r="X107" i="16" s="1"/>
  <c r="X108" i="16" s="1"/>
  <c r="X109" i="16" s="1"/>
  <c r="X110" i="16" s="1"/>
  <c r="X111" i="16" s="1"/>
  <c r="X112" i="16" s="1"/>
  <c r="X113" i="16" s="1"/>
  <c r="X114" i="16" s="1"/>
  <c r="X115" i="16" s="1"/>
  <c r="X116" i="16" s="1"/>
  <c r="X117" i="16" s="1"/>
  <c r="X118" i="16" s="1"/>
  <c r="X119" i="16" s="1"/>
  <c r="X121" i="16" s="1"/>
  <c r="X122" i="16" s="1"/>
  <c r="X123" i="16" s="1"/>
  <c r="X124" i="16" s="1"/>
  <c r="X125" i="16" s="1"/>
  <c r="X126" i="16" s="1"/>
  <c r="X127" i="16" s="1"/>
  <c r="X128" i="16" s="1"/>
  <c r="X129" i="16" s="1"/>
  <c r="X130" i="16" s="1"/>
  <c r="X131" i="16" s="1"/>
  <c r="X132" i="16" s="1"/>
  <c r="X133" i="16" s="1"/>
  <c r="X134" i="16" s="1"/>
  <c r="X135" i="16" s="1"/>
  <c r="X136" i="16" s="1"/>
  <c r="X137" i="16" s="1"/>
  <c r="X138" i="16" s="1"/>
  <c r="X139" i="16" s="1"/>
  <c r="X140" i="16" s="1"/>
  <c r="X141" i="16" s="1"/>
  <c r="X142" i="16" s="1"/>
  <c r="X143" i="16" s="1"/>
  <c r="X144" i="16" s="1"/>
  <c r="X145" i="16" s="1"/>
  <c r="X146" i="16" s="1"/>
  <c r="X147" i="16" s="1"/>
  <c r="X148" i="16" s="1"/>
  <c r="X149" i="16" s="1"/>
  <c r="X150" i="16" s="1"/>
  <c r="X151" i="16" s="1"/>
  <c r="X152" i="16" s="1"/>
  <c r="X153" i="16" s="1"/>
  <c r="X154" i="16" s="1"/>
  <c r="X155" i="16" s="1"/>
  <c r="X156" i="16" s="1"/>
  <c r="X157" i="16" s="1"/>
  <c r="X158" i="16" s="1"/>
  <c r="X159" i="16" s="1"/>
  <c r="X160" i="16" s="1"/>
  <c r="X161" i="16" s="1"/>
  <c r="X162" i="16" s="1"/>
  <c r="X163" i="16" s="1"/>
  <c r="X164" i="16" s="1"/>
  <c r="X165" i="16" s="1"/>
  <c r="X166" i="16" s="1"/>
  <c r="X167" i="16" s="1"/>
  <c r="X168" i="16" s="1"/>
  <c r="X169" i="16" s="1"/>
  <c r="X170" i="16" s="1"/>
  <c r="X171" i="16" s="1"/>
  <c r="X172" i="16" s="1"/>
  <c r="X173" i="16" s="1"/>
  <c r="X174" i="16" s="1"/>
  <c r="X175" i="16" s="1"/>
  <c r="X176" i="16" s="1"/>
  <c r="X177" i="16" s="1"/>
  <c r="X178" i="16" s="1"/>
  <c r="X179" i="16" s="1"/>
  <c r="X180" i="16" s="1"/>
  <c r="X181" i="16" s="1"/>
  <c r="X182" i="16" s="1"/>
  <c r="X183" i="16" s="1"/>
  <c r="X184" i="16" s="1"/>
  <c r="X185" i="16" s="1"/>
  <c r="X186" i="16" s="1"/>
  <c r="X187" i="16" s="1"/>
  <c r="X188" i="16" s="1"/>
  <c r="X189" i="16" s="1"/>
  <c r="X190" i="16" s="1"/>
  <c r="X191" i="16" s="1"/>
  <c r="X192" i="16" s="1"/>
  <c r="X193" i="16" s="1"/>
  <c r="X194" i="16" s="1"/>
  <c r="X195" i="16" s="1"/>
  <c r="X196" i="16" s="1"/>
  <c r="X197" i="16" s="1"/>
  <c r="X198" i="16" s="1"/>
  <c r="X199" i="16" s="1"/>
  <c r="X200" i="16" s="1"/>
  <c r="X201" i="16" s="1"/>
  <c r="X202" i="16" s="1"/>
  <c r="X203" i="16" s="1"/>
  <c r="X204" i="16" s="1"/>
  <c r="X205" i="16" s="1"/>
  <c r="X206" i="16" s="1"/>
  <c r="X207" i="16" s="1"/>
  <c r="X208" i="16" s="1"/>
  <c r="X209" i="16" s="1"/>
  <c r="X210" i="16" s="1"/>
  <c r="X211" i="16" s="1"/>
  <c r="X212" i="16" s="1"/>
  <c r="X213" i="16" s="1"/>
  <c r="X214" i="16" s="1"/>
  <c r="X215" i="16" s="1"/>
  <c r="X216" i="16" s="1"/>
  <c r="X217" i="16" s="1"/>
  <c r="X218" i="16" s="1"/>
  <c r="X219" i="16" s="1"/>
  <c r="X220" i="16" s="1"/>
  <c r="X221" i="16" s="1"/>
  <c r="X223" i="16" s="1"/>
  <c r="X224" i="16" s="1"/>
  <c r="X225" i="16" s="1"/>
  <c r="X226" i="16" s="1"/>
  <c r="X227" i="16" s="1"/>
  <c r="X228" i="16" s="1"/>
  <c r="X229" i="16" s="1"/>
  <c r="X231" i="16" s="1"/>
  <c r="X233" i="16" s="1"/>
  <c r="X235" i="16" s="1"/>
  <c r="X236" i="16" s="1"/>
  <c r="X237" i="16" s="1"/>
  <c r="X238" i="16" s="1"/>
  <c r="X239" i="16" s="1"/>
  <c r="X240" i="16" s="1"/>
  <c r="X241" i="16" s="1"/>
  <c r="X242" i="16" s="1"/>
  <c r="X243" i="16" s="1"/>
  <c r="X244" i="16" s="1"/>
  <c r="X245" i="16" s="1"/>
  <c r="X247" i="16" s="1"/>
  <c r="X248" i="16" s="1"/>
  <c r="X249" i="16" s="1"/>
  <c r="X250" i="16" s="1"/>
  <c r="X251" i="16" s="1"/>
  <c r="X252" i="16" s="1"/>
  <c r="X253" i="16" s="1"/>
  <c r="X254" i="16" s="1"/>
  <c r="X255" i="16" s="1"/>
  <c r="X256" i="16" s="1"/>
  <c r="X257" i="16" s="1"/>
  <c r="X258" i="16" s="1"/>
  <c r="X260" i="16" s="1"/>
  <c r="X262" i="16" s="1"/>
  <c r="X264" i="16" s="1"/>
  <c r="X265" i="16" s="1"/>
  <c r="X266" i="16" s="1"/>
  <c r="X267" i="16" s="1"/>
  <c r="X268" i="16" s="1"/>
  <c r="X269" i="16" s="1"/>
  <c r="X270" i="16" s="1"/>
  <c r="X271" i="16" s="1"/>
  <c r="X272" i="16" s="1"/>
  <c r="X274" i="16" s="1"/>
  <c r="X275" i="16" s="1"/>
  <c r="X277" i="16" s="1"/>
  <c r="X278" i="16" s="1"/>
  <c r="X280" i="16" s="1"/>
  <c r="X281" i="16" s="1"/>
  <c r="X283" i="16" s="1"/>
  <c r="X285" i="16" s="1"/>
  <c r="X287" i="16" s="1"/>
  <c r="X288" i="16" s="1"/>
  <c r="X289" i="16" s="1"/>
  <c r="X290" i="16" s="1"/>
  <c r="X292" i="16" s="1"/>
  <c r="X293" i="16" s="1"/>
  <c r="X294" i="16" s="1"/>
  <c r="X295" i="16" s="1"/>
  <c r="X297" i="16" s="1"/>
  <c r="X299" i="16" s="1"/>
  <c r="X301" i="16" s="1"/>
  <c r="X302" i="16" s="1"/>
  <c r="X303" i="16" s="1"/>
  <c r="X304" i="16" s="1"/>
  <c r="X305" i="16" s="1"/>
  <c r="X306" i="16" s="1"/>
  <c r="X307" i="16" s="1"/>
  <c r="X308" i="16" s="1"/>
  <c r="X309" i="16" s="1"/>
  <c r="X310" i="16" s="1"/>
  <c r="X311" i="16" s="1"/>
  <c r="X313" i="16" s="1"/>
  <c r="X314" i="16" s="1"/>
  <c r="X315" i="16" s="1"/>
  <c r="X316" i="16" s="1"/>
  <c r="X317" i="16" s="1"/>
  <c r="X318" i="16" s="1"/>
  <c r="X319" i="16" s="1"/>
  <c r="X321" i="16" s="1"/>
  <c r="X322" i="16" s="1"/>
  <c r="X324" i="16" s="1"/>
  <c r="X325" i="16" s="1"/>
  <c r="X327" i="16" s="1"/>
  <c r="X328" i="16" s="1"/>
  <c r="X329" i="16" s="1"/>
  <c r="X331" i="16" s="1"/>
  <c r="X332" i="16" s="1"/>
  <c r="X333" i="16" s="1"/>
  <c r="X335" i="16" s="1"/>
  <c r="X336" i="16" s="1"/>
  <c r="X337" i="16" s="1"/>
  <c r="X338" i="16" s="1"/>
  <c r="X339" i="16" s="1"/>
  <c r="X340" i="16" s="1"/>
  <c r="X341" i="16" s="1"/>
  <c r="X342" i="16" s="1"/>
  <c r="X343" i="16" s="1"/>
  <c r="X344" i="16" s="1"/>
  <c r="X345" i="16" s="1"/>
  <c r="X346" i="16" s="1"/>
  <c r="X347" i="16" s="1"/>
  <c r="X348" i="16" s="1"/>
  <c r="X349" i="16" s="1"/>
  <c r="X350" i="16" s="1"/>
  <c r="X352" i="16" s="1"/>
  <c r="X354" i="16" s="1"/>
  <c r="X355" i="16" s="1"/>
  <c r="X356" i="16" s="1"/>
  <c r="X357" i="16" s="1"/>
  <c r="X358" i="16" s="1"/>
  <c r="X359" i="16" s="1"/>
  <c r="X361" i="16" s="1"/>
  <c r="X362" i="16" s="1"/>
  <c r="X364" i="16" s="1"/>
  <c r="X366" i="16" s="1"/>
  <c r="X367" i="16" s="1"/>
  <c r="X368" i="16" s="1"/>
  <c r="X370" i="16" s="1"/>
  <c r="X371" i="16" s="1"/>
  <c r="X372" i="16" s="1"/>
  <c r="X373" i="16" s="1"/>
  <c r="X374" i="16" s="1"/>
  <c r="X375" i="16" s="1"/>
  <c r="X376" i="16" s="1"/>
  <c r="X377" i="16" s="1"/>
  <c r="X378" i="16" s="1"/>
  <c r="X379" i="16" s="1"/>
  <c r="X380" i="16" s="1"/>
  <c r="X382" i="16" s="1"/>
  <c r="X383" i="16" s="1"/>
  <c r="X384" i="16" s="1"/>
  <c r="X385" i="16" s="1"/>
  <c r="X387" i="16" s="1"/>
  <c r="X388" i="16" s="1"/>
  <c r="X389" i="16" s="1"/>
  <c r="X390" i="16" s="1"/>
  <c r="X391" i="16" s="1"/>
  <c r="X392" i="16" s="1"/>
  <c r="X394" i="16" s="1"/>
  <c r="X396" i="16" s="1"/>
  <c r="X397" i="16" s="1"/>
  <c r="X398" i="16" s="1"/>
  <c r="X399" i="16" s="1"/>
  <c r="X400" i="16" s="1"/>
  <c r="X401" i="16" s="1"/>
  <c r="X402" i="16" s="1"/>
  <c r="X403" i="16" s="1"/>
  <c r="X404" i="16" s="1"/>
  <c r="X405" i="16" s="1"/>
  <c r="X406" i="16" s="1"/>
  <c r="X408" i="16" s="1"/>
  <c r="X409" i="16" s="1"/>
  <c r="X411" i="16" s="1"/>
  <c r="X413" i="16" s="1"/>
  <c r="X415" i="16" s="1"/>
  <c r="X416" i="16" s="1"/>
  <c r="X417" i="16" s="1"/>
  <c r="X418" i="16" s="1"/>
  <c r="X419" i="16" s="1"/>
  <c r="X420" i="16" s="1"/>
  <c r="X421" i="16" s="1"/>
  <c r="X422" i="16" s="1"/>
  <c r="X423" i="16" s="1"/>
  <c r="X425" i="16" s="1"/>
  <c r="X426" i="16" s="1"/>
  <c r="X428" i="16" s="1"/>
  <c r="X429" i="16" s="1"/>
  <c r="X431" i="16" s="1"/>
  <c r="X432" i="16" s="1"/>
  <c r="X433" i="16" s="1"/>
  <c r="X434" i="16" s="1"/>
  <c r="X435" i="16" s="1"/>
  <c r="X436" i="16" s="1"/>
  <c r="X437" i="16" s="1"/>
  <c r="X439" i="16" s="1"/>
  <c r="X441" i="16" s="1"/>
  <c r="X443" i="16" s="1"/>
  <c r="X444" i="16" s="1"/>
  <c r="X445" i="16" s="1"/>
  <c r="X446" i="16" s="1"/>
  <c r="X447" i="16" s="1"/>
  <c r="X448" i="16" s="1"/>
  <c r="X449" i="16" s="1"/>
  <c r="X450" i="16" s="1"/>
  <c r="X451" i="16" s="1"/>
  <c r="X453" i="16" s="1"/>
  <c r="X455" i="16" s="1"/>
  <c r="X457" i="16" s="1"/>
  <c r="X458" i="16" s="1"/>
  <c r="X460" i="16" s="1"/>
  <c r="X461" i="16" s="1"/>
  <c r="X462" i="16" s="1"/>
  <c r="X463" i="16" s="1"/>
  <c r="X464" i="16" s="1"/>
  <c r="X465" i="16" s="1"/>
  <c r="X466" i="16" s="1"/>
  <c r="X467" i="16" s="1"/>
  <c r="X468" i="16" s="1"/>
  <c r="X469" i="16" s="1"/>
  <c r="X470" i="16" s="1"/>
  <c r="X471" i="16" s="1"/>
  <c r="X472" i="16" s="1"/>
  <c r="X473" i="16" s="1"/>
  <c r="X474" i="16" s="1"/>
  <c r="X475" i="16" s="1"/>
  <c r="X476" i="16" s="1"/>
  <c r="X477" i="16" s="1"/>
  <c r="X479" i="16" s="1"/>
  <c r="X481" i="16" s="1"/>
  <c r="K490" i="16"/>
  <c r="I488" i="16"/>
  <c r="K488" i="16" l="1"/>
  <c r="I495" i="16"/>
  <c r="K495" i="16" s="1"/>
  <c r="E100" i="15" l="1"/>
  <c r="G100" i="15" s="1"/>
  <c r="D100" i="15"/>
  <c r="C100" i="15"/>
  <c r="G99" i="15"/>
  <c r="F99" i="15"/>
  <c r="G98" i="15"/>
  <c r="F98" i="15"/>
  <c r="G97" i="15"/>
  <c r="F97" i="15"/>
  <c r="G96" i="15"/>
  <c r="F96" i="15"/>
  <c r="G95" i="15"/>
  <c r="F95" i="15"/>
  <c r="G94" i="15"/>
  <c r="F94" i="15"/>
  <c r="G93" i="15"/>
  <c r="F93" i="15"/>
  <c r="G92" i="15"/>
  <c r="F92" i="15"/>
  <c r="E87" i="15"/>
  <c r="G87" i="15" s="1"/>
  <c r="D87" i="15"/>
  <c r="C87" i="15"/>
  <c r="G86" i="15"/>
  <c r="F86" i="15"/>
  <c r="G85" i="15"/>
  <c r="F85" i="15"/>
  <c r="G84" i="15"/>
  <c r="F84" i="15"/>
  <c r="G83" i="15"/>
  <c r="F83" i="15"/>
  <c r="G82" i="15"/>
  <c r="F82" i="15"/>
  <c r="G81" i="15"/>
  <c r="F81" i="15"/>
  <c r="G80" i="15"/>
  <c r="F80" i="15"/>
  <c r="G79" i="15"/>
  <c r="F79" i="15"/>
  <c r="G78" i="15"/>
  <c r="F78" i="15"/>
  <c r="G77" i="15"/>
  <c r="F77" i="15"/>
  <c r="G76" i="15"/>
  <c r="F76" i="15"/>
  <c r="G75" i="15"/>
  <c r="F75" i="15"/>
  <c r="G74" i="15"/>
  <c r="F74" i="15"/>
  <c r="G73" i="15"/>
  <c r="F73" i="15"/>
  <c r="G72" i="15"/>
  <c r="F72" i="15"/>
  <c r="G71" i="15"/>
  <c r="F71" i="15"/>
  <c r="G70" i="15"/>
  <c r="F70" i="15"/>
  <c r="G69" i="15"/>
  <c r="F69" i="15"/>
  <c r="G68" i="15"/>
  <c r="F68" i="15"/>
  <c r="G67" i="15"/>
  <c r="F67" i="15"/>
  <c r="G66" i="15"/>
  <c r="F66" i="15"/>
  <c r="G65" i="15"/>
  <c r="F65" i="15"/>
  <c r="G63" i="15"/>
  <c r="F63" i="15"/>
  <c r="G62" i="15"/>
  <c r="F62" i="15"/>
  <c r="G61" i="15"/>
  <c r="F61" i="15"/>
  <c r="G60" i="15"/>
  <c r="F60" i="15"/>
  <c r="G59" i="15"/>
  <c r="F59" i="15"/>
  <c r="G58" i="15"/>
  <c r="F58" i="15"/>
  <c r="G57" i="15"/>
  <c r="F57" i="15"/>
  <c r="G56" i="15"/>
  <c r="F56" i="15"/>
  <c r="G55" i="15"/>
  <c r="F55" i="15"/>
  <c r="G54" i="15"/>
  <c r="F54" i="15"/>
  <c r="G53" i="15"/>
  <c r="F53" i="15"/>
  <c r="G52" i="15"/>
  <c r="F52" i="15"/>
  <c r="G51" i="15"/>
  <c r="F51" i="15"/>
  <c r="G50" i="15"/>
  <c r="F50" i="15"/>
  <c r="G49" i="15"/>
  <c r="F49" i="15"/>
  <c r="G48" i="15"/>
  <c r="F48" i="15"/>
  <c r="G47" i="15"/>
  <c r="F47" i="15"/>
  <c r="G46" i="15"/>
  <c r="F46" i="15"/>
  <c r="G45" i="15"/>
  <c r="F45" i="15"/>
  <c r="G44" i="15"/>
  <c r="F44" i="15"/>
  <c r="G43" i="15"/>
  <c r="F43" i="15"/>
  <c r="G42" i="15"/>
  <c r="F42" i="15"/>
  <c r="G41" i="15"/>
  <c r="F41" i="15"/>
  <c r="G40" i="15"/>
  <c r="F40" i="15"/>
  <c r="G39" i="15"/>
  <c r="F39" i="15"/>
  <c r="G38" i="15"/>
  <c r="F38" i="15"/>
  <c r="G37" i="15"/>
  <c r="F37" i="15"/>
  <c r="G36" i="15"/>
  <c r="F36" i="15"/>
  <c r="G35" i="15"/>
  <c r="F35" i="15"/>
  <c r="G34" i="15"/>
  <c r="F34" i="15"/>
  <c r="G33" i="15"/>
  <c r="F33" i="15"/>
  <c r="G32" i="15"/>
  <c r="F32" i="15"/>
  <c r="G31" i="15"/>
  <c r="F31" i="15"/>
  <c r="G30" i="15"/>
  <c r="F30" i="15"/>
  <c r="G29" i="15"/>
  <c r="F29" i="15"/>
  <c r="G28" i="15"/>
  <c r="F28" i="15"/>
  <c r="G27" i="15"/>
  <c r="F27" i="15"/>
  <c r="G26" i="15"/>
  <c r="F26" i="15"/>
  <c r="G25" i="15"/>
  <c r="F25" i="15"/>
  <c r="G24" i="15"/>
  <c r="F24" i="15"/>
  <c r="G23" i="15"/>
  <c r="F23" i="15"/>
  <c r="G22" i="15"/>
  <c r="F22" i="15"/>
  <c r="G21" i="15"/>
  <c r="F21" i="15"/>
  <c r="G20" i="15"/>
  <c r="F20" i="15"/>
  <c r="G19" i="15"/>
  <c r="F19" i="15"/>
  <c r="G18" i="15"/>
  <c r="F18" i="15"/>
  <c r="G17" i="15"/>
  <c r="F17" i="15"/>
  <c r="G16" i="15"/>
  <c r="F16" i="15"/>
  <c r="G15" i="15"/>
  <c r="F15" i="15"/>
  <c r="G14" i="15"/>
  <c r="F14" i="15"/>
  <c r="G13" i="15"/>
  <c r="F13" i="15"/>
  <c r="G12" i="15"/>
  <c r="F12" i="15"/>
  <c r="G11" i="15"/>
  <c r="F11" i="15"/>
  <c r="G10" i="15"/>
  <c r="F10" i="15"/>
  <c r="G9" i="15"/>
  <c r="F9" i="15"/>
  <c r="G8" i="15"/>
  <c r="F8" i="15"/>
  <c r="G7" i="15"/>
  <c r="F7" i="15"/>
  <c r="G6" i="15"/>
  <c r="F6" i="15"/>
  <c r="G5" i="15"/>
  <c r="F5" i="15"/>
  <c r="G4" i="15"/>
  <c r="F4" i="15"/>
  <c r="G3" i="15"/>
  <c r="F3" i="15"/>
  <c r="F87" i="15" l="1"/>
  <c r="F100" i="15"/>
  <c r="F238" i="8" l="1"/>
  <c r="H229" i="8"/>
  <c r="H223" i="8"/>
  <c r="H200" i="8"/>
  <c r="H121" i="8"/>
  <c r="H122" i="8"/>
  <c r="H123" i="8"/>
  <c r="H124" i="8"/>
  <c r="H125" i="8"/>
  <c r="H126" i="8"/>
  <c r="H127" i="8"/>
  <c r="H128" i="8"/>
  <c r="H129" i="8"/>
  <c r="H33" i="8"/>
  <c r="E230" i="8" l="1"/>
  <c r="F230" i="8"/>
  <c r="D230" i="8"/>
  <c r="H100" i="8"/>
  <c r="G100" i="8"/>
  <c r="H89" i="8"/>
  <c r="G89" i="8"/>
  <c r="H71" i="8"/>
  <c r="G71" i="8"/>
  <c r="H78" i="7"/>
  <c r="H72" i="7"/>
  <c r="J141" i="13"/>
  <c r="J140" i="13"/>
  <c r="K122" i="13"/>
  <c r="J122" i="13"/>
  <c r="D122" i="13"/>
  <c r="D96" i="13"/>
  <c r="D72" i="13"/>
  <c r="K70" i="13"/>
  <c r="J70" i="13"/>
  <c r="D70" i="13"/>
  <c r="K22" i="13"/>
  <c r="D170" i="13" l="1"/>
  <c r="H235" i="8"/>
  <c r="G235" i="8"/>
  <c r="H72" i="8" l="1"/>
  <c r="G72" i="8"/>
  <c r="J142" i="13" l="1"/>
  <c r="D134" i="13"/>
  <c r="J129" i="13"/>
  <c r="K129" i="13"/>
  <c r="D129" i="13"/>
  <c r="J94" i="13"/>
  <c r="K94" i="13"/>
  <c r="J93" i="13"/>
  <c r="K93" i="13"/>
  <c r="D94" i="13"/>
  <c r="D93" i="13"/>
  <c r="J90" i="13"/>
  <c r="K90" i="13"/>
  <c r="D90" i="13"/>
  <c r="J89" i="13"/>
  <c r="K89" i="13"/>
  <c r="D89" i="13"/>
  <c r="J82" i="13"/>
  <c r="K82" i="13"/>
  <c r="D82" i="13"/>
  <c r="J80" i="13"/>
  <c r="D80" i="13"/>
  <c r="K64" i="13"/>
  <c r="J64" i="13"/>
  <c r="D64" i="13"/>
  <c r="B28" i="14"/>
  <c r="H208" i="8" l="1"/>
  <c r="G208" i="8"/>
  <c r="H70" i="8"/>
  <c r="G70" i="8"/>
  <c r="H30" i="8"/>
  <c r="H137" i="7"/>
  <c r="G137" i="7"/>
  <c r="H99" i="7"/>
  <c r="G99" i="7"/>
  <c r="K3" i="12" l="1"/>
  <c r="J3" i="12"/>
  <c r="D3" i="12"/>
  <c r="J105" i="13" l="1"/>
  <c r="K105" i="13"/>
  <c r="J107" i="13"/>
  <c r="K107" i="13"/>
  <c r="D107" i="13"/>
  <c r="D105" i="13"/>
  <c r="D102" i="13"/>
  <c r="J102" i="13"/>
  <c r="K102" i="13"/>
  <c r="D22" i="13"/>
  <c r="J179" i="13" l="1"/>
  <c r="K179" i="13"/>
  <c r="J180" i="13"/>
  <c r="K180" i="13"/>
  <c r="J181" i="13"/>
  <c r="K181" i="13"/>
  <c r="J182" i="13"/>
  <c r="K182" i="13"/>
  <c r="J183" i="13"/>
  <c r="K183" i="13"/>
  <c r="K198" i="13"/>
  <c r="J198" i="13"/>
  <c r="K197" i="13"/>
  <c r="J197" i="13"/>
  <c r="K193" i="13"/>
  <c r="J193" i="13"/>
  <c r="K187" i="13"/>
  <c r="J187" i="13"/>
  <c r="K178" i="13"/>
  <c r="J178" i="13"/>
  <c r="K177" i="13"/>
  <c r="J177" i="13"/>
  <c r="K176" i="13"/>
  <c r="J176" i="13"/>
  <c r="K175" i="13"/>
  <c r="J175" i="13"/>
  <c r="K174" i="13"/>
  <c r="J174" i="13"/>
  <c r="K173" i="13"/>
  <c r="J173" i="13"/>
  <c r="K172" i="13"/>
  <c r="J172" i="13"/>
  <c r="K171" i="13"/>
  <c r="J171" i="13"/>
  <c r="K169" i="13"/>
  <c r="J169" i="13"/>
  <c r="K168" i="13"/>
  <c r="J168" i="13"/>
  <c r="K167" i="13"/>
  <c r="J167" i="13"/>
  <c r="K166" i="13"/>
  <c r="J166" i="13"/>
  <c r="K165" i="13"/>
  <c r="J165" i="13"/>
  <c r="K164" i="13"/>
  <c r="J164" i="13"/>
  <c r="K163" i="13"/>
  <c r="J163" i="13"/>
  <c r="K162" i="13"/>
  <c r="J162" i="13"/>
  <c r="K161" i="13"/>
  <c r="J161" i="13"/>
  <c r="K160" i="13"/>
  <c r="J160" i="13"/>
  <c r="K159" i="13"/>
  <c r="J159" i="13"/>
  <c r="K158" i="13"/>
  <c r="J158" i="13"/>
  <c r="K157" i="13"/>
  <c r="J157" i="13"/>
  <c r="K156" i="13"/>
  <c r="J156" i="13"/>
  <c r="K155" i="13"/>
  <c r="J155" i="13"/>
  <c r="K154" i="13"/>
  <c r="J154" i="13"/>
  <c r="K153" i="13"/>
  <c r="J153" i="13"/>
  <c r="K152" i="13"/>
  <c r="J152" i="13"/>
  <c r="K151" i="13"/>
  <c r="J151" i="13"/>
  <c r="K150" i="13"/>
  <c r="J150" i="13"/>
  <c r="K149" i="13"/>
  <c r="J149" i="13"/>
  <c r="K148" i="13"/>
  <c r="J148" i="13"/>
  <c r="K147" i="13"/>
  <c r="J147" i="13"/>
  <c r="K146" i="13"/>
  <c r="J146" i="13"/>
  <c r="K145" i="13"/>
  <c r="J145" i="13"/>
  <c r="K144" i="13"/>
  <c r="J144" i="13"/>
  <c r="K143" i="13"/>
  <c r="J143" i="13"/>
  <c r="K139" i="13"/>
  <c r="J139" i="13"/>
  <c r="K138" i="13"/>
  <c r="J138" i="13"/>
  <c r="K137" i="13"/>
  <c r="J137" i="13"/>
  <c r="K136" i="13"/>
  <c r="J136" i="13"/>
  <c r="K135" i="13"/>
  <c r="J135" i="13"/>
  <c r="K133" i="13"/>
  <c r="J133" i="13"/>
  <c r="K132" i="13"/>
  <c r="J132" i="13"/>
  <c r="K131" i="13"/>
  <c r="J131" i="13"/>
  <c r="K130" i="13"/>
  <c r="J130" i="13"/>
  <c r="K128" i="13"/>
  <c r="J128" i="13"/>
  <c r="K127" i="13"/>
  <c r="J127" i="13"/>
  <c r="K126" i="13"/>
  <c r="J126" i="13"/>
  <c r="K125" i="13"/>
  <c r="J125" i="13"/>
  <c r="K124" i="13"/>
  <c r="J124" i="13"/>
  <c r="K123" i="13"/>
  <c r="J123" i="13"/>
  <c r="K121" i="13"/>
  <c r="J121" i="13"/>
  <c r="K117" i="13"/>
  <c r="J117" i="13"/>
  <c r="K116" i="13"/>
  <c r="J116" i="13"/>
  <c r="K112" i="13"/>
  <c r="J112" i="13"/>
  <c r="K111" i="13"/>
  <c r="J111" i="13"/>
  <c r="K110" i="13"/>
  <c r="J110" i="13"/>
  <c r="K109" i="13"/>
  <c r="J109" i="13"/>
  <c r="K108" i="13"/>
  <c r="J108" i="13"/>
  <c r="K106" i="13"/>
  <c r="J106" i="13"/>
  <c r="K104" i="13"/>
  <c r="J104" i="13"/>
  <c r="K103" i="13"/>
  <c r="J103" i="13"/>
  <c r="K97" i="13"/>
  <c r="J97" i="13"/>
  <c r="K95" i="13"/>
  <c r="J95" i="13"/>
  <c r="K92" i="13"/>
  <c r="J92" i="13"/>
  <c r="K91" i="13"/>
  <c r="J91" i="13"/>
  <c r="K88" i="13"/>
  <c r="J88" i="13"/>
  <c r="K87" i="13"/>
  <c r="J87" i="13"/>
  <c r="K86" i="13"/>
  <c r="J86" i="13"/>
  <c r="K85" i="13"/>
  <c r="J85" i="13"/>
  <c r="K84" i="13"/>
  <c r="J84" i="13"/>
  <c r="K83" i="13"/>
  <c r="J83" i="13"/>
  <c r="K81" i="13"/>
  <c r="J81" i="13"/>
  <c r="K79" i="13"/>
  <c r="J79" i="13"/>
  <c r="K78" i="13"/>
  <c r="J78" i="13"/>
  <c r="K77" i="13"/>
  <c r="J77" i="13"/>
  <c r="K76" i="13"/>
  <c r="J76" i="13"/>
  <c r="K75" i="13"/>
  <c r="J75" i="13"/>
  <c r="K74" i="13"/>
  <c r="J74" i="13"/>
  <c r="K61" i="13"/>
  <c r="J61" i="13"/>
  <c r="K60" i="13"/>
  <c r="J60" i="13"/>
  <c r="K49" i="13"/>
  <c r="J49" i="13"/>
  <c r="K39" i="13"/>
  <c r="J39" i="13"/>
  <c r="K14" i="13"/>
  <c r="J14" i="13"/>
  <c r="K13" i="13"/>
  <c r="J13" i="13"/>
  <c r="K12" i="13"/>
  <c r="J12" i="13"/>
  <c r="K11" i="13"/>
  <c r="J11" i="13"/>
  <c r="K10" i="13"/>
  <c r="J10" i="13"/>
  <c r="K9" i="13"/>
  <c r="J9" i="13"/>
  <c r="K8" i="13"/>
  <c r="J8" i="13"/>
  <c r="K7" i="13"/>
  <c r="J7" i="13"/>
  <c r="K6" i="13"/>
  <c r="J6" i="13"/>
  <c r="K5" i="13"/>
  <c r="J5" i="13"/>
  <c r="J4" i="12"/>
  <c r="K4" i="12"/>
  <c r="J5" i="12"/>
  <c r="K5" i="12"/>
  <c r="J6" i="12"/>
  <c r="K6" i="12"/>
  <c r="J7" i="12"/>
  <c r="K7" i="12"/>
  <c r="J8" i="12"/>
  <c r="K8" i="12"/>
  <c r="J9" i="12"/>
  <c r="K9" i="12"/>
  <c r="J10" i="12"/>
  <c r="K10" i="12"/>
  <c r="J11" i="12"/>
  <c r="K11" i="12"/>
  <c r="J12" i="12"/>
  <c r="K12" i="12"/>
  <c r="J13" i="12"/>
  <c r="K13" i="12"/>
  <c r="J14" i="12"/>
  <c r="K14" i="12"/>
  <c r="J15" i="12"/>
  <c r="K15" i="12"/>
  <c r="J16" i="12"/>
  <c r="K16" i="12"/>
  <c r="J17" i="12"/>
  <c r="K17" i="12"/>
  <c r="J18" i="12"/>
  <c r="K18" i="12"/>
  <c r="K22" i="12"/>
  <c r="K23" i="12"/>
  <c r="H241" i="8"/>
  <c r="G241" i="8"/>
  <c r="H237" i="8"/>
  <c r="G237" i="8"/>
  <c r="H234" i="8"/>
  <c r="G234" i="8"/>
  <c r="H233" i="8"/>
  <c r="G233" i="8"/>
  <c r="H228" i="8"/>
  <c r="G228" i="8"/>
  <c r="H224" i="8"/>
  <c r="G224" i="8"/>
  <c r="H222" i="8"/>
  <c r="G222" i="8"/>
  <c r="H221" i="8"/>
  <c r="G221" i="8"/>
  <c r="H220" i="8"/>
  <c r="G220" i="8"/>
  <c r="H219" i="8"/>
  <c r="G219" i="8"/>
  <c r="H218" i="8"/>
  <c r="G218" i="8"/>
  <c r="H217" i="8"/>
  <c r="G217" i="8"/>
  <c r="H216" i="8"/>
  <c r="G216" i="8"/>
  <c r="H215" i="8"/>
  <c r="G215" i="8"/>
  <c r="H214" i="8"/>
  <c r="G214" i="8"/>
  <c r="H213" i="8"/>
  <c r="G213" i="8"/>
  <c r="H209" i="8"/>
  <c r="G209" i="8"/>
  <c r="H207" i="8"/>
  <c r="G207" i="8"/>
  <c r="H206" i="8"/>
  <c r="G206" i="8"/>
  <c r="H205" i="8"/>
  <c r="G205" i="8"/>
  <c r="H204" i="8"/>
  <c r="G204" i="8"/>
  <c r="H203" i="8"/>
  <c r="G203" i="8"/>
  <c r="H202" i="8"/>
  <c r="G202" i="8"/>
  <c r="H201" i="8"/>
  <c r="G201" i="8"/>
  <c r="H199" i="8"/>
  <c r="G199" i="8"/>
  <c r="H198" i="8"/>
  <c r="G198" i="8"/>
  <c r="H197" i="8"/>
  <c r="G197" i="8"/>
  <c r="H196" i="8"/>
  <c r="G196" i="8"/>
  <c r="H195" i="8"/>
  <c r="G195" i="8"/>
  <c r="H194" i="8"/>
  <c r="G194" i="8"/>
  <c r="H193" i="8"/>
  <c r="G193" i="8"/>
  <c r="H192" i="8"/>
  <c r="G192" i="8"/>
  <c r="H191" i="8"/>
  <c r="G191" i="8"/>
  <c r="H190" i="8"/>
  <c r="G190" i="8"/>
  <c r="H189" i="8"/>
  <c r="G189" i="8"/>
  <c r="H188" i="8"/>
  <c r="G188" i="8"/>
  <c r="H187" i="8"/>
  <c r="G187" i="8"/>
  <c r="H186" i="8"/>
  <c r="G186" i="8"/>
  <c r="H185" i="8"/>
  <c r="G185" i="8"/>
  <c r="H184" i="8"/>
  <c r="G184" i="8"/>
  <c r="H183" i="8"/>
  <c r="G183" i="8"/>
  <c r="H182" i="8"/>
  <c r="G182" i="8"/>
  <c r="H178" i="8"/>
  <c r="G178" i="8"/>
  <c r="H177" i="8"/>
  <c r="G177" i="8"/>
  <c r="H176" i="8"/>
  <c r="G176" i="8"/>
  <c r="H175" i="8"/>
  <c r="G175" i="8"/>
  <c r="H174" i="8"/>
  <c r="G174" i="8"/>
  <c r="H173" i="8"/>
  <c r="G173" i="8"/>
  <c r="H169" i="8"/>
  <c r="G169" i="8"/>
  <c r="H168" i="8"/>
  <c r="G168" i="8"/>
  <c r="H167" i="8"/>
  <c r="G167" i="8"/>
  <c r="H166" i="8"/>
  <c r="G166" i="8"/>
  <c r="H165" i="8"/>
  <c r="G165" i="8"/>
  <c r="H164" i="8"/>
  <c r="G164" i="8"/>
  <c r="H163" i="8"/>
  <c r="G163" i="8"/>
  <c r="H162" i="8"/>
  <c r="G162" i="8"/>
  <c r="H161" i="8"/>
  <c r="G161" i="8"/>
  <c r="H160" i="8"/>
  <c r="G160" i="8"/>
  <c r="H156" i="8"/>
  <c r="G156" i="8"/>
  <c r="H155" i="8"/>
  <c r="G155" i="8"/>
  <c r="H154" i="8"/>
  <c r="G154" i="8"/>
  <c r="H153" i="8"/>
  <c r="G153" i="8"/>
  <c r="H152" i="8"/>
  <c r="G152" i="8"/>
  <c r="H151" i="8"/>
  <c r="G151" i="8"/>
  <c r="H150" i="8"/>
  <c r="G150" i="8"/>
  <c r="H149" i="8"/>
  <c r="G149" i="8"/>
  <c r="H140" i="8"/>
  <c r="G140" i="8"/>
  <c r="H139" i="8"/>
  <c r="G139" i="8"/>
  <c r="H138" i="8"/>
  <c r="G138" i="8"/>
  <c r="H137" i="8"/>
  <c r="G137" i="8"/>
  <c r="H136" i="8"/>
  <c r="G136" i="8"/>
  <c r="H132" i="8"/>
  <c r="G132" i="8"/>
  <c r="H131" i="8"/>
  <c r="G131" i="8"/>
  <c r="H130" i="8"/>
  <c r="G130" i="8"/>
  <c r="G128" i="8"/>
  <c r="G127" i="8"/>
  <c r="G126" i="8"/>
  <c r="G125" i="8"/>
  <c r="G124" i="8"/>
  <c r="G123" i="8"/>
  <c r="G121" i="8"/>
  <c r="H120" i="8"/>
  <c r="G120" i="8"/>
  <c r="H116" i="8"/>
  <c r="G116" i="8"/>
  <c r="H115" i="8"/>
  <c r="G115" i="8"/>
  <c r="H114" i="8"/>
  <c r="G114" i="8"/>
  <c r="H113" i="8"/>
  <c r="G113" i="8"/>
  <c r="H112" i="8"/>
  <c r="G112" i="8"/>
  <c r="H111" i="8"/>
  <c r="G111" i="8"/>
  <c r="H110" i="8"/>
  <c r="G110" i="8"/>
  <c r="H109" i="8"/>
  <c r="G109" i="8"/>
  <c r="H108" i="8"/>
  <c r="G108" i="8"/>
  <c r="H107" i="8"/>
  <c r="G107" i="8"/>
  <c r="H106" i="8"/>
  <c r="G106" i="8"/>
  <c r="H105" i="8"/>
  <c r="G105" i="8"/>
  <c r="H101" i="8"/>
  <c r="G101" i="8"/>
  <c r="H99" i="8"/>
  <c r="G99" i="8"/>
  <c r="H98" i="8"/>
  <c r="G98" i="8"/>
  <c r="H97" i="8"/>
  <c r="G97" i="8"/>
  <c r="H96" i="8"/>
  <c r="G96" i="8"/>
  <c r="H95" i="8"/>
  <c r="G95" i="8"/>
  <c r="H94" i="8"/>
  <c r="G94" i="8"/>
  <c r="G78" i="8"/>
  <c r="H78" i="8"/>
  <c r="G79" i="8"/>
  <c r="H79" i="8"/>
  <c r="G80" i="8"/>
  <c r="H80" i="8"/>
  <c r="G81" i="8"/>
  <c r="H81" i="8"/>
  <c r="G82" i="8"/>
  <c r="H82" i="8"/>
  <c r="G83" i="8"/>
  <c r="H83" i="8"/>
  <c r="G84" i="8"/>
  <c r="H84" i="8"/>
  <c r="G59" i="8"/>
  <c r="H59" i="8"/>
  <c r="G60" i="8"/>
  <c r="H60" i="8"/>
  <c r="G61" i="8"/>
  <c r="H61" i="8"/>
  <c r="G62" i="8"/>
  <c r="H62" i="8"/>
  <c r="G63" i="8"/>
  <c r="H63" i="8"/>
  <c r="G64" i="8"/>
  <c r="H64" i="8"/>
  <c r="G65" i="8"/>
  <c r="H65" i="8"/>
  <c r="G66" i="8"/>
  <c r="H66" i="8"/>
  <c r="G67" i="8"/>
  <c r="H67" i="8"/>
  <c r="G68" i="8"/>
  <c r="H68" i="8"/>
  <c r="G69" i="8"/>
  <c r="H69" i="8"/>
  <c r="G42" i="8"/>
  <c r="H42" i="8"/>
  <c r="G43" i="8"/>
  <c r="H43" i="8"/>
  <c r="G44" i="8"/>
  <c r="H44" i="8"/>
  <c r="G22" i="8"/>
  <c r="H22" i="8"/>
  <c r="G23" i="8"/>
  <c r="H23" i="8"/>
  <c r="G24" i="8"/>
  <c r="H24" i="8"/>
  <c r="G25" i="8"/>
  <c r="H25" i="8"/>
  <c r="G26" i="8"/>
  <c r="H26" i="8"/>
  <c r="G27" i="8"/>
  <c r="H27" i="8"/>
  <c r="G28" i="8"/>
  <c r="H28" i="8"/>
  <c r="G29" i="8"/>
  <c r="H29" i="8"/>
  <c r="G31" i="8"/>
  <c r="H31" i="8"/>
  <c r="G32" i="8"/>
  <c r="H32" i="8"/>
  <c r="G34" i="8"/>
  <c r="H34" i="8"/>
  <c r="G35" i="8"/>
  <c r="H35" i="8"/>
  <c r="G36" i="8"/>
  <c r="H36" i="8"/>
  <c r="G37" i="8"/>
  <c r="H37" i="8"/>
  <c r="G12" i="8"/>
  <c r="H12" i="8"/>
  <c r="G13" i="8"/>
  <c r="H13" i="8"/>
  <c r="G14" i="8"/>
  <c r="H14" i="8"/>
  <c r="G15" i="8"/>
  <c r="H15" i="8"/>
  <c r="G16" i="8"/>
  <c r="H16" i="8"/>
  <c r="G4" i="8"/>
  <c r="H4" i="8"/>
  <c r="G5" i="8"/>
  <c r="H5" i="8"/>
  <c r="G6" i="8"/>
  <c r="H6" i="8"/>
  <c r="E91" i="8"/>
  <c r="F91" i="8"/>
  <c r="D91" i="8"/>
  <c r="H88" i="8"/>
  <c r="G88" i="8"/>
  <c r="G6" i="7" l="1"/>
  <c r="H6" i="7"/>
  <c r="G7" i="7"/>
  <c r="H7" i="7"/>
  <c r="G8" i="7"/>
  <c r="H8" i="7"/>
  <c r="G9" i="7"/>
  <c r="H9" i="7"/>
  <c r="G11" i="7"/>
  <c r="H11" i="7"/>
  <c r="G12" i="7"/>
  <c r="H12" i="7"/>
  <c r="G13" i="7"/>
  <c r="H13" i="7"/>
  <c r="G15" i="7"/>
  <c r="H15" i="7"/>
  <c r="G16" i="7"/>
  <c r="H16" i="7"/>
  <c r="G17" i="7"/>
  <c r="H17" i="7"/>
  <c r="G19" i="7"/>
  <c r="H19" i="7"/>
  <c r="G20" i="7"/>
  <c r="H20" i="7"/>
  <c r="G21" i="7"/>
  <c r="H21" i="7"/>
  <c r="G23" i="7"/>
  <c r="H23" i="7"/>
  <c r="G25" i="7"/>
  <c r="H25" i="7"/>
  <c r="G26" i="7"/>
  <c r="H26" i="7"/>
  <c r="G27" i="7"/>
  <c r="H27" i="7"/>
  <c r="G28" i="7"/>
  <c r="H28" i="7"/>
  <c r="G29" i="7"/>
  <c r="H29" i="7"/>
  <c r="G30" i="7"/>
  <c r="H30" i="7"/>
  <c r="G32" i="7"/>
  <c r="H32" i="7"/>
  <c r="G33" i="7"/>
  <c r="H33" i="7"/>
  <c r="G34" i="7"/>
  <c r="H34" i="7"/>
  <c r="G35" i="7"/>
  <c r="H35" i="7"/>
  <c r="G37" i="7"/>
  <c r="H37" i="7"/>
  <c r="G39" i="7"/>
  <c r="H39" i="7"/>
  <c r="G40" i="7"/>
  <c r="H40" i="7"/>
  <c r="G41" i="7"/>
  <c r="H41" i="7"/>
  <c r="G43" i="7"/>
  <c r="H43" i="7"/>
  <c r="G44" i="7"/>
  <c r="H44" i="7"/>
  <c r="G45" i="7"/>
  <c r="H45" i="7"/>
  <c r="G46" i="7"/>
  <c r="H46" i="7"/>
  <c r="G47" i="7"/>
  <c r="H47" i="7"/>
  <c r="G48" i="7"/>
  <c r="H48" i="7"/>
  <c r="G49" i="7"/>
  <c r="H49" i="7"/>
  <c r="G50" i="7"/>
  <c r="H50" i="7"/>
  <c r="G52" i="7"/>
  <c r="H52" i="7"/>
  <c r="G53" i="7"/>
  <c r="H53" i="7"/>
  <c r="G54" i="7"/>
  <c r="H54" i="7"/>
  <c r="G55" i="7"/>
  <c r="H55" i="7"/>
  <c r="G56" i="7"/>
  <c r="H56" i="7"/>
  <c r="G57" i="7"/>
  <c r="H57" i="7"/>
  <c r="G59" i="7"/>
  <c r="H59" i="7"/>
  <c r="G60" i="7"/>
  <c r="H60" i="7"/>
  <c r="G61" i="7"/>
  <c r="H61" i="7"/>
  <c r="G62" i="7"/>
  <c r="H62" i="7"/>
  <c r="G63" i="7"/>
  <c r="H63" i="7"/>
  <c r="G64" i="7"/>
  <c r="H64" i="7"/>
  <c r="G65" i="7"/>
  <c r="H65" i="7"/>
  <c r="G67" i="7"/>
  <c r="H67" i="7"/>
  <c r="G68" i="7"/>
  <c r="H68" i="7"/>
  <c r="G69" i="7"/>
  <c r="H69" i="7"/>
  <c r="G70" i="7"/>
  <c r="H70" i="7"/>
  <c r="G71" i="7"/>
  <c r="H71" i="7"/>
  <c r="G73" i="7"/>
  <c r="H73" i="7"/>
  <c r="G74" i="7"/>
  <c r="H74" i="7"/>
  <c r="G75" i="7"/>
  <c r="H75" i="7"/>
  <c r="G76" i="7"/>
  <c r="H76" i="7"/>
  <c r="G77" i="7"/>
  <c r="H77" i="7"/>
  <c r="G79" i="7"/>
  <c r="H79" i="7"/>
  <c r="G80" i="7"/>
  <c r="H80" i="7"/>
  <c r="G81" i="7"/>
  <c r="H81" i="7"/>
  <c r="G82" i="7"/>
  <c r="H82" i="7"/>
  <c r="G83" i="7"/>
  <c r="H83" i="7"/>
  <c r="G84" i="7"/>
  <c r="H84" i="7"/>
  <c r="G85" i="7"/>
  <c r="H85" i="7"/>
  <c r="G86" i="7"/>
  <c r="H86" i="7"/>
  <c r="G87" i="7"/>
  <c r="H87" i="7"/>
  <c r="G88" i="7"/>
  <c r="H88" i="7"/>
  <c r="G89" i="7"/>
  <c r="H89" i="7"/>
  <c r="G90" i="7"/>
  <c r="H90" i="7"/>
  <c r="G91" i="7"/>
  <c r="H91" i="7"/>
  <c r="G92" i="7"/>
  <c r="H92" i="7"/>
  <c r="G94" i="7"/>
  <c r="H94" i="7"/>
  <c r="G95" i="7"/>
  <c r="H95" i="7"/>
  <c r="G96" i="7"/>
  <c r="H96" i="7"/>
  <c r="G97" i="7"/>
  <c r="H97" i="7"/>
  <c r="G98" i="7"/>
  <c r="H98" i="7"/>
  <c r="G100" i="7"/>
  <c r="H100" i="7"/>
  <c r="G102" i="7"/>
  <c r="H102" i="7"/>
  <c r="G103" i="7"/>
  <c r="H103" i="7"/>
  <c r="G104" i="7"/>
  <c r="H104" i="7"/>
  <c r="G105" i="7"/>
  <c r="H105" i="7"/>
  <c r="G106" i="7"/>
  <c r="H106" i="7"/>
  <c r="G108" i="7"/>
  <c r="H108" i="7"/>
  <c r="G109" i="7"/>
  <c r="H109" i="7"/>
  <c r="G110" i="7"/>
  <c r="H110" i="7"/>
  <c r="G112" i="7"/>
  <c r="H112" i="7"/>
  <c r="G113" i="7"/>
  <c r="H113" i="7"/>
  <c r="G114" i="7"/>
  <c r="H114" i="7"/>
  <c r="G115" i="7"/>
  <c r="H115" i="7"/>
  <c r="G116" i="7"/>
  <c r="H116" i="7"/>
  <c r="G117" i="7"/>
  <c r="H117" i="7"/>
  <c r="G119" i="7"/>
  <c r="H119" i="7"/>
  <c r="G120" i="7"/>
  <c r="H120" i="7"/>
  <c r="G121" i="7"/>
  <c r="H121" i="7"/>
  <c r="G122" i="7"/>
  <c r="H122" i="7"/>
  <c r="G124" i="7"/>
  <c r="H124" i="7"/>
  <c r="G125" i="7"/>
  <c r="H125" i="7"/>
  <c r="G126" i="7"/>
  <c r="H126" i="7"/>
  <c r="G127" i="7"/>
  <c r="H127" i="7"/>
  <c r="G128" i="7"/>
  <c r="H128" i="7"/>
  <c r="G130" i="7"/>
  <c r="H130" i="7"/>
  <c r="G131" i="7"/>
  <c r="H131" i="7"/>
  <c r="G132" i="7"/>
  <c r="H132" i="7"/>
  <c r="G134" i="7"/>
  <c r="H134" i="7"/>
  <c r="G136" i="7"/>
  <c r="H136" i="7"/>
  <c r="G138" i="7"/>
  <c r="H138" i="7"/>
  <c r="G140" i="7"/>
  <c r="H140" i="7"/>
  <c r="G141" i="7"/>
  <c r="H141" i="7"/>
  <c r="G142" i="7"/>
  <c r="H142" i="7"/>
  <c r="G143" i="7"/>
  <c r="H143" i="7"/>
  <c r="G144" i="7"/>
  <c r="H144" i="7"/>
  <c r="G145" i="7"/>
  <c r="H145" i="7"/>
  <c r="G146" i="7"/>
  <c r="H146" i="7"/>
  <c r="G148" i="7"/>
  <c r="H148" i="7"/>
  <c r="G149" i="7"/>
  <c r="H149" i="7"/>
  <c r="G150" i="7"/>
  <c r="H150" i="7"/>
  <c r="F14" i="7"/>
  <c r="F10" i="7"/>
  <c r="E10" i="7"/>
  <c r="D10" i="7"/>
  <c r="D172" i="13"/>
  <c r="D171" i="13"/>
  <c r="D149" i="13"/>
  <c r="D150" i="13"/>
  <c r="D148" i="13"/>
  <c r="D111" i="13"/>
  <c r="D106" i="13"/>
  <c r="D108" i="13"/>
  <c r="D103" i="13"/>
  <c r="D92" i="13"/>
  <c r="D81" i="13"/>
  <c r="D74" i="13"/>
  <c r="D60" i="13"/>
  <c r="D6" i="12"/>
  <c r="G10" i="7" l="1"/>
  <c r="H10" i="7"/>
  <c r="D16" i="12"/>
  <c r="I7" i="14"/>
  <c r="H7" i="14"/>
  <c r="B7" i="14"/>
  <c r="F157" i="8" l="1"/>
  <c r="E157" i="8"/>
  <c r="D157" i="8"/>
  <c r="H152" i="7" l="1"/>
  <c r="G152" i="7"/>
  <c r="F151" i="7"/>
  <c r="E151" i="7"/>
  <c r="D151" i="7"/>
  <c r="F147" i="7"/>
  <c r="E147" i="7"/>
  <c r="D147" i="7"/>
  <c r="F139" i="7"/>
  <c r="E139" i="7"/>
  <c r="D139" i="7"/>
  <c r="F129" i="7"/>
  <c r="E129" i="7"/>
  <c r="D129" i="7"/>
  <c r="F123" i="7"/>
  <c r="E123" i="7"/>
  <c r="H123" i="7" s="1"/>
  <c r="D123" i="7"/>
  <c r="F118" i="7"/>
  <c r="E118" i="7"/>
  <c r="D118" i="7"/>
  <c r="F111" i="7"/>
  <c r="E111" i="7"/>
  <c r="D111" i="7"/>
  <c r="F107" i="7"/>
  <c r="E107" i="7"/>
  <c r="D107" i="7"/>
  <c r="F101" i="7"/>
  <c r="E101" i="7"/>
  <c r="H101" i="7" s="1"/>
  <c r="D101" i="7"/>
  <c r="F93" i="7"/>
  <c r="E93" i="7"/>
  <c r="D93" i="7"/>
  <c r="F51" i="7"/>
  <c r="E51" i="7"/>
  <c r="D51" i="7"/>
  <c r="F42" i="7"/>
  <c r="E42" i="7"/>
  <c r="D42" i="7"/>
  <c r="F38" i="7"/>
  <c r="E38" i="7"/>
  <c r="H38" i="7" s="1"/>
  <c r="D38" i="7"/>
  <c r="F31" i="7"/>
  <c r="E31" i="7"/>
  <c r="D31" i="7"/>
  <c r="F24" i="7"/>
  <c r="E24" i="7"/>
  <c r="D24" i="7"/>
  <c r="F18" i="7"/>
  <c r="E18" i="7"/>
  <c r="D18" i="7"/>
  <c r="E14" i="7"/>
  <c r="H14" i="7" s="1"/>
  <c r="D14" i="7"/>
  <c r="G14" i="7" s="1"/>
  <c r="F5" i="7"/>
  <c r="E5" i="7"/>
  <c r="D5" i="7"/>
  <c r="H4" i="7"/>
  <c r="G4" i="7"/>
  <c r="H2" i="7"/>
  <c r="G2" i="7"/>
  <c r="H243" i="8"/>
  <c r="G243" i="8"/>
  <c r="F242" i="8"/>
  <c r="E242" i="8"/>
  <c r="H242" i="8" s="1"/>
  <c r="D242" i="8"/>
  <c r="G242" i="8" s="1"/>
  <c r="H240" i="8"/>
  <c r="G240" i="8"/>
  <c r="E238" i="8"/>
  <c r="D238" i="8"/>
  <c r="H232" i="8"/>
  <c r="G232" i="8"/>
  <c r="H231" i="8"/>
  <c r="G231" i="8"/>
  <c r="H227" i="8"/>
  <c r="G227" i="8"/>
  <c r="H226" i="8"/>
  <c r="G226" i="8"/>
  <c r="F225" i="8"/>
  <c r="E225" i="8"/>
  <c r="D225" i="8"/>
  <c r="H212" i="8"/>
  <c r="G212" i="8"/>
  <c r="H211" i="8"/>
  <c r="G211" i="8"/>
  <c r="F210" i="8"/>
  <c r="E210" i="8"/>
  <c r="D210" i="8"/>
  <c r="H181" i="8"/>
  <c r="G181" i="8"/>
  <c r="H180" i="8"/>
  <c r="G180" i="8"/>
  <c r="F179" i="8"/>
  <c r="E179" i="8"/>
  <c r="D179" i="8"/>
  <c r="H172" i="8"/>
  <c r="G172" i="8"/>
  <c r="F170" i="8"/>
  <c r="E170" i="8"/>
  <c r="D170" i="8"/>
  <c r="H159" i="8"/>
  <c r="G159" i="8"/>
  <c r="H158" i="8"/>
  <c r="G158" i="8"/>
  <c r="H148" i="8"/>
  <c r="G148" i="8"/>
  <c r="H147" i="8"/>
  <c r="G147" i="8"/>
  <c r="H146" i="8"/>
  <c r="G146" i="8"/>
  <c r="F145" i="8"/>
  <c r="E145" i="8"/>
  <c r="D145" i="8"/>
  <c r="H144" i="8"/>
  <c r="G144" i="8"/>
  <c r="H143" i="8"/>
  <c r="G143" i="8"/>
  <c r="H142" i="8"/>
  <c r="G142" i="8"/>
  <c r="F141" i="8"/>
  <c r="E141" i="8"/>
  <c r="D141" i="8"/>
  <c r="H135" i="8"/>
  <c r="G135" i="8"/>
  <c r="F133" i="8"/>
  <c r="E133" i="8"/>
  <c r="D133" i="8"/>
  <c r="H119" i="8"/>
  <c r="G119" i="8"/>
  <c r="H118" i="8"/>
  <c r="G118" i="8"/>
  <c r="F117" i="8"/>
  <c r="E117" i="8"/>
  <c r="D117" i="8"/>
  <c r="H104" i="8"/>
  <c r="G104" i="8"/>
  <c r="H103" i="8"/>
  <c r="G103" i="8"/>
  <c r="F102" i="8"/>
  <c r="E102" i="8"/>
  <c r="D102" i="8"/>
  <c r="H93" i="8"/>
  <c r="G93" i="8"/>
  <c r="H92" i="8"/>
  <c r="G92" i="8"/>
  <c r="H90" i="8"/>
  <c r="G90" i="8"/>
  <c r="H87" i="8"/>
  <c r="G87" i="8"/>
  <c r="H86" i="8"/>
  <c r="G86" i="8"/>
  <c r="F85" i="8"/>
  <c r="E85" i="8"/>
  <c r="D85" i="8"/>
  <c r="H77" i="8"/>
  <c r="G77" i="8"/>
  <c r="H76" i="8"/>
  <c r="G76" i="8"/>
  <c r="H75" i="8"/>
  <c r="G75" i="8"/>
  <c r="H74" i="8"/>
  <c r="G74" i="8"/>
  <c r="F73" i="8"/>
  <c r="E73" i="8"/>
  <c r="D73" i="8"/>
  <c r="H58" i="8"/>
  <c r="G58" i="8"/>
  <c r="H57" i="8"/>
  <c r="G57" i="8"/>
  <c r="H56" i="8"/>
  <c r="G56" i="8"/>
  <c r="H55" i="8"/>
  <c r="G55" i="8"/>
  <c r="H54" i="8"/>
  <c r="G54" i="8"/>
  <c r="F53" i="8"/>
  <c r="E53" i="8"/>
  <c r="D53" i="8"/>
  <c r="H52" i="8"/>
  <c r="G52" i="8"/>
  <c r="H51" i="8"/>
  <c r="G51" i="8"/>
  <c r="H50" i="8"/>
  <c r="G50" i="8"/>
  <c r="F49" i="8"/>
  <c r="E49" i="8"/>
  <c r="D49" i="8"/>
  <c r="H48" i="8"/>
  <c r="G48" i="8"/>
  <c r="H47" i="8"/>
  <c r="G47" i="8"/>
  <c r="H46" i="8"/>
  <c r="G46" i="8"/>
  <c r="F45" i="8"/>
  <c r="E45" i="8"/>
  <c r="D45" i="8"/>
  <c r="H41" i="8"/>
  <c r="G41" i="8"/>
  <c r="H40" i="8"/>
  <c r="G40" i="8"/>
  <c r="H39" i="8"/>
  <c r="G39" i="8"/>
  <c r="F38" i="8"/>
  <c r="E38" i="8"/>
  <c r="D38" i="8"/>
  <c r="H21" i="8"/>
  <c r="G21" i="8"/>
  <c r="H20" i="8"/>
  <c r="G20" i="8"/>
  <c r="H19" i="8"/>
  <c r="G19" i="8"/>
  <c r="F18" i="8"/>
  <c r="E18" i="8"/>
  <c r="D18" i="8"/>
  <c r="H11" i="8"/>
  <c r="G11" i="8"/>
  <c r="H10" i="8"/>
  <c r="G10" i="8"/>
  <c r="F8" i="8"/>
  <c r="E8" i="8"/>
  <c r="D8" i="8"/>
  <c r="H7" i="8"/>
  <c r="G7" i="8"/>
  <c r="H3" i="8"/>
  <c r="G3" i="8"/>
  <c r="H2" i="8"/>
  <c r="G2" i="8"/>
  <c r="I24" i="12"/>
  <c r="H24" i="12"/>
  <c r="G24" i="12"/>
  <c r="J24" i="12" s="1"/>
  <c r="D23" i="12"/>
  <c r="D22" i="12"/>
  <c r="K21" i="12"/>
  <c r="D21" i="12"/>
  <c r="K20" i="12"/>
  <c r="J20" i="12"/>
  <c r="I19" i="12"/>
  <c r="H19" i="12"/>
  <c r="G19" i="12"/>
  <c r="D18" i="12"/>
  <c r="D17" i="12"/>
  <c r="D15" i="12"/>
  <c r="D14" i="12"/>
  <c r="D13" i="12"/>
  <c r="D11" i="12"/>
  <c r="D10" i="12"/>
  <c r="D9" i="12"/>
  <c r="D8" i="12"/>
  <c r="D7" i="12"/>
  <c r="D5" i="12"/>
  <c r="D4" i="12"/>
  <c r="K2" i="12"/>
  <c r="J2" i="12"/>
  <c r="D2" i="12"/>
  <c r="H11" i="11"/>
  <c r="G11" i="11"/>
  <c r="I10" i="11"/>
  <c r="I11" i="11" s="1"/>
  <c r="H10" i="11"/>
  <c r="G10" i="11"/>
  <c r="K9" i="11"/>
  <c r="J9" i="11"/>
  <c r="D9" i="11"/>
  <c r="K8" i="11"/>
  <c r="J8" i="11"/>
  <c r="D8" i="11"/>
  <c r="K7" i="11"/>
  <c r="J7" i="11"/>
  <c r="D7" i="11"/>
  <c r="K6" i="11"/>
  <c r="J6" i="11"/>
  <c r="K5" i="11"/>
  <c r="J5" i="11"/>
  <c r="D5" i="11"/>
  <c r="K4" i="11"/>
  <c r="J4" i="11"/>
  <c r="D4" i="11"/>
  <c r="K3" i="11"/>
  <c r="J3" i="11"/>
  <c r="I199" i="13"/>
  <c r="H199" i="13"/>
  <c r="G199" i="13"/>
  <c r="D198" i="13"/>
  <c r="D197" i="13"/>
  <c r="K196" i="13"/>
  <c r="J196" i="13"/>
  <c r="K195" i="13"/>
  <c r="J195" i="13"/>
  <c r="I194" i="13"/>
  <c r="H194" i="13"/>
  <c r="G194" i="13"/>
  <c r="D193" i="13"/>
  <c r="K192" i="13"/>
  <c r="J192" i="13"/>
  <c r="D192" i="13"/>
  <c r="K191" i="13"/>
  <c r="J191" i="13"/>
  <c r="D191" i="13"/>
  <c r="K190" i="13"/>
  <c r="J190" i="13"/>
  <c r="I188" i="13"/>
  <c r="H188" i="13"/>
  <c r="G188" i="13"/>
  <c r="D187" i="13"/>
  <c r="K186" i="13"/>
  <c r="J186" i="13"/>
  <c r="K185" i="13"/>
  <c r="J185" i="13"/>
  <c r="I184" i="13"/>
  <c r="H184" i="13"/>
  <c r="G184" i="13"/>
  <c r="D183" i="13"/>
  <c r="D182" i="13"/>
  <c r="D181" i="13"/>
  <c r="D180" i="13"/>
  <c r="D179" i="13"/>
  <c r="D178" i="13"/>
  <c r="D177" i="13"/>
  <c r="D176" i="13"/>
  <c r="D175" i="13"/>
  <c r="D174" i="13"/>
  <c r="D173" i="13"/>
  <c r="D169" i="13"/>
  <c r="D168" i="13"/>
  <c r="D167" i="13"/>
  <c r="D166" i="13"/>
  <c r="D165" i="13"/>
  <c r="D164" i="13"/>
  <c r="D163" i="13"/>
  <c r="D162" i="13"/>
  <c r="D161" i="13"/>
  <c r="D160" i="13"/>
  <c r="D159" i="13"/>
  <c r="D158" i="13"/>
  <c r="D157" i="13"/>
  <c r="D156" i="13"/>
  <c r="D155" i="13"/>
  <c r="D154" i="13"/>
  <c r="D153" i="13"/>
  <c r="D152" i="13"/>
  <c r="D151" i="13"/>
  <c r="D147" i="13"/>
  <c r="D146" i="13"/>
  <c r="D133" i="13"/>
  <c r="D132" i="13"/>
  <c r="D131" i="13"/>
  <c r="D130" i="13"/>
  <c r="D128" i="13"/>
  <c r="D127" i="13"/>
  <c r="D126" i="13"/>
  <c r="D125" i="13"/>
  <c r="D124" i="13"/>
  <c r="D123" i="13"/>
  <c r="D121" i="13"/>
  <c r="K120" i="13"/>
  <c r="J120" i="13"/>
  <c r="K119" i="13"/>
  <c r="J119" i="13"/>
  <c r="I118" i="13"/>
  <c r="H118" i="13"/>
  <c r="G118" i="13"/>
  <c r="D117" i="13"/>
  <c r="D116" i="13"/>
  <c r="K115" i="13"/>
  <c r="J115" i="13"/>
  <c r="K114" i="13"/>
  <c r="J114" i="13"/>
  <c r="I113" i="13"/>
  <c r="H113" i="13"/>
  <c r="G113" i="13"/>
  <c r="J113" i="13" s="1"/>
  <c r="D110" i="13"/>
  <c r="D109" i="13"/>
  <c r="D104" i="13"/>
  <c r="K101" i="13"/>
  <c r="J101" i="13"/>
  <c r="K100" i="13"/>
  <c r="J100" i="13"/>
  <c r="I99" i="13"/>
  <c r="H99" i="13"/>
  <c r="G99" i="13"/>
  <c r="K98" i="13"/>
  <c r="J98" i="13"/>
  <c r="D98" i="13"/>
  <c r="D97" i="13"/>
  <c r="D95" i="13"/>
  <c r="D91" i="13"/>
  <c r="D88" i="13"/>
  <c r="D87" i="13"/>
  <c r="D86" i="13"/>
  <c r="D85" i="13"/>
  <c r="D84" i="13"/>
  <c r="D83" i="13"/>
  <c r="D79" i="13"/>
  <c r="D78" i="13"/>
  <c r="D77" i="13"/>
  <c r="D76" i="13"/>
  <c r="D75" i="13"/>
  <c r="K73" i="13"/>
  <c r="J73" i="13"/>
  <c r="D73" i="13"/>
  <c r="K71" i="13"/>
  <c r="J71" i="13"/>
  <c r="D71" i="13"/>
  <c r="K69" i="13"/>
  <c r="J69" i="13"/>
  <c r="D69" i="13"/>
  <c r="K68" i="13"/>
  <c r="J68" i="13"/>
  <c r="K67" i="13"/>
  <c r="J67" i="13"/>
  <c r="I66" i="13"/>
  <c r="H66" i="13"/>
  <c r="G66" i="13"/>
  <c r="K65" i="13"/>
  <c r="J65" i="13"/>
  <c r="D65" i="13"/>
  <c r="K63" i="13"/>
  <c r="J63" i="13"/>
  <c r="D63" i="13"/>
  <c r="K62" i="13"/>
  <c r="J62" i="13"/>
  <c r="D62" i="13"/>
  <c r="D61" i="13"/>
  <c r="K59" i="13"/>
  <c r="J59" i="13"/>
  <c r="D59" i="13"/>
  <c r="K58" i="13"/>
  <c r="J58" i="13"/>
  <c r="K57" i="13"/>
  <c r="J57" i="13"/>
  <c r="I56" i="13"/>
  <c r="H56" i="13"/>
  <c r="G56" i="13"/>
  <c r="K55" i="13"/>
  <c r="J55" i="13"/>
  <c r="K54" i="13"/>
  <c r="J54" i="13"/>
  <c r="D54" i="13"/>
  <c r="K53" i="13"/>
  <c r="J53" i="13"/>
  <c r="D53" i="13"/>
  <c r="K52" i="13"/>
  <c r="J52" i="13"/>
  <c r="D52" i="13"/>
  <c r="K51" i="13"/>
  <c r="J51" i="13"/>
  <c r="D51" i="13"/>
  <c r="K50" i="13"/>
  <c r="J50" i="13"/>
  <c r="D50" i="13"/>
  <c r="D49" i="13"/>
  <c r="K48" i="13"/>
  <c r="J48" i="13"/>
  <c r="D48" i="13"/>
  <c r="K47" i="13"/>
  <c r="J47" i="13"/>
  <c r="D47" i="13"/>
  <c r="K46" i="13"/>
  <c r="J46" i="13"/>
  <c r="D46" i="13"/>
  <c r="K45" i="13"/>
  <c r="J45" i="13"/>
  <c r="K44" i="13"/>
  <c r="J44" i="13"/>
  <c r="D44" i="13"/>
  <c r="K43" i="13"/>
  <c r="J43" i="13"/>
  <c r="D43" i="13"/>
  <c r="K42" i="13"/>
  <c r="J42" i="13"/>
  <c r="D42" i="13"/>
  <c r="K41" i="13"/>
  <c r="J41" i="13"/>
  <c r="D41" i="13"/>
  <c r="K40" i="13"/>
  <c r="J40" i="13"/>
  <c r="D40" i="13"/>
  <c r="D39" i="13"/>
  <c r="K38" i="13"/>
  <c r="J38" i="13"/>
  <c r="D38" i="13"/>
  <c r="K37" i="13"/>
  <c r="J37" i="13"/>
  <c r="D37" i="13"/>
  <c r="K36" i="13"/>
  <c r="J36" i="13"/>
  <c r="D36" i="13"/>
  <c r="K35" i="13"/>
  <c r="J35" i="13"/>
  <c r="D35" i="13"/>
  <c r="K34" i="13"/>
  <c r="J34" i="13"/>
  <c r="D34" i="13"/>
  <c r="K33" i="13"/>
  <c r="J33" i="13"/>
  <c r="D33" i="13"/>
  <c r="K32" i="13"/>
  <c r="J32" i="13"/>
  <c r="D32" i="13"/>
  <c r="K31" i="13"/>
  <c r="J31" i="13"/>
  <c r="K30" i="13"/>
  <c r="J30" i="13"/>
  <c r="I29" i="13"/>
  <c r="H29" i="13"/>
  <c r="G29" i="13"/>
  <c r="K28" i="13"/>
  <c r="J28" i="13"/>
  <c r="K27" i="13"/>
  <c r="J27" i="13"/>
  <c r="K26" i="13"/>
  <c r="J26" i="13"/>
  <c r="K25" i="13"/>
  <c r="J25" i="13"/>
  <c r="K24" i="13"/>
  <c r="J24" i="13"/>
  <c r="K23" i="13"/>
  <c r="J23" i="13"/>
  <c r="D23" i="13"/>
  <c r="K21" i="13"/>
  <c r="J21" i="13"/>
  <c r="D21" i="13"/>
  <c r="K20" i="13"/>
  <c r="J20" i="13"/>
  <c r="D20" i="13"/>
  <c r="K19" i="13"/>
  <c r="J19" i="13"/>
  <c r="K18" i="13"/>
  <c r="J18" i="13"/>
  <c r="D18" i="13"/>
  <c r="K17" i="13"/>
  <c r="J17" i="13"/>
  <c r="I15" i="13"/>
  <c r="H15" i="13"/>
  <c r="G15" i="13"/>
  <c r="D14" i="13"/>
  <c r="D13" i="13"/>
  <c r="D12" i="13"/>
  <c r="D11" i="13"/>
  <c r="D10" i="13"/>
  <c r="D9" i="13"/>
  <c r="D8" i="13"/>
  <c r="D7" i="13"/>
  <c r="D6" i="13"/>
  <c r="D5" i="13"/>
  <c r="K4" i="13"/>
  <c r="J4" i="13"/>
  <c r="D4" i="13"/>
  <c r="K3" i="13"/>
  <c r="J3" i="13"/>
  <c r="D3" i="13"/>
  <c r="K2" i="13"/>
  <c r="J2" i="13"/>
  <c r="G37" i="14"/>
  <c r="I37" i="14" s="1"/>
  <c r="F37" i="14"/>
  <c r="E37" i="14"/>
  <c r="I36" i="14"/>
  <c r="H36" i="14"/>
  <c r="B36" i="14"/>
  <c r="G35" i="14"/>
  <c r="F35" i="14"/>
  <c r="E35" i="14"/>
  <c r="E38" i="14" s="1"/>
  <c r="I34" i="14"/>
  <c r="H34" i="14"/>
  <c r="I33" i="14"/>
  <c r="H33" i="14"/>
  <c r="I32" i="14"/>
  <c r="H32" i="14"/>
  <c r="I31" i="14"/>
  <c r="H31" i="14"/>
  <c r="B31" i="14"/>
  <c r="I30" i="14"/>
  <c r="H30" i="14"/>
  <c r="B30" i="14"/>
  <c r="I29" i="14"/>
  <c r="H29" i="14"/>
  <c r="B29" i="14"/>
  <c r="I27" i="14"/>
  <c r="H27" i="14"/>
  <c r="B27" i="14"/>
  <c r="I26" i="14"/>
  <c r="H26" i="14"/>
  <c r="B26" i="14"/>
  <c r="I25" i="14"/>
  <c r="H25" i="14"/>
  <c r="B25" i="14"/>
  <c r="I24" i="14"/>
  <c r="H24" i="14"/>
  <c r="B24" i="14"/>
  <c r="G23" i="14"/>
  <c r="I23" i="14" s="1"/>
  <c r="F23" i="14"/>
  <c r="E23" i="14"/>
  <c r="B22" i="14"/>
  <c r="I21" i="14"/>
  <c r="H21" i="14"/>
  <c r="B21" i="14"/>
  <c r="I20" i="14"/>
  <c r="H20" i="14"/>
  <c r="B20" i="14"/>
  <c r="I19" i="14"/>
  <c r="H19" i="14"/>
  <c r="B19" i="14"/>
  <c r="G18" i="14"/>
  <c r="I18" i="14" s="1"/>
  <c r="F18" i="14"/>
  <c r="E18" i="14"/>
  <c r="I17" i="14"/>
  <c r="H17" i="14"/>
  <c r="B17" i="14"/>
  <c r="I16" i="14"/>
  <c r="H16" i="14"/>
  <c r="B16" i="14"/>
  <c r="G15" i="14"/>
  <c r="I15" i="14" s="1"/>
  <c r="F15" i="14"/>
  <c r="E15" i="14"/>
  <c r="I14" i="14"/>
  <c r="H14" i="14"/>
  <c r="B14" i="14"/>
  <c r="I13" i="14"/>
  <c r="H13" i="14"/>
  <c r="B13" i="14"/>
  <c r="I12" i="14"/>
  <c r="H12" i="14"/>
  <c r="B12" i="14"/>
  <c r="G11" i="14"/>
  <c r="H11" i="14" s="1"/>
  <c r="F11" i="14"/>
  <c r="E11" i="14"/>
  <c r="I10" i="14"/>
  <c r="H10" i="14"/>
  <c r="B10" i="14"/>
  <c r="G9" i="14"/>
  <c r="F9" i="14"/>
  <c r="F38" i="14" s="1"/>
  <c r="E9" i="14"/>
  <c r="I8" i="14"/>
  <c r="H8" i="14"/>
  <c r="B8" i="14"/>
  <c r="I6" i="14"/>
  <c r="H6" i="14"/>
  <c r="B6" i="14"/>
  <c r="G5" i="14"/>
  <c r="F5" i="14"/>
  <c r="E5" i="14"/>
  <c r="I4" i="14"/>
  <c r="H4" i="14"/>
  <c r="B4" i="14"/>
  <c r="I3" i="14"/>
  <c r="H3" i="14"/>
  <c r="B3" i="14"/>
  <c r="I2" i="14"/>
  <c r="H2" i="14"/>
  <c r="B2" i="14"/>
  <c r="H51" i="7" l="1"/>
  <c r="G31" i="7"/>
  <c r="H31" i="7"/>
  <c r="H24" i="7"/>
  <c r="G5" i="7"/>
  <c r="H145" i="8"/>
  <c r="G147" i="7"/>
  <c r="H147" i="7"/>
  <c r="I11" i="14"/>
  <c r="H18" i="14"/>
  <c r="H35" i="14"/>
  <c r="G93" i="7"/>
  <c r="H93" i="7"/>
  <c r="G118" i="7"/>
  <c r="H118" i="7"/>
  <c r="G51" i="7"/>
  <c r="G24" i="7"/>
  <c r="H5" i="7"/>
  <c r="G139" i="7"/>
  <c r="H139" i="7"/>
  <c r="G18" i="7"/>
  <c r="G42" i="7"/>
  <c r="G107" i="7"/>
  <c r="G129" i="7"/>
  <c r="H18" i="7"/>
  <c r="G38" i="7"/>
  <c r="H42" i="7"/>
  <c r="H107" i="7"/>
  <c r="G123" i="7"/>
  <c r="H129" i="7"/>
  <c r="G101" i="7"/>
  <c r="G25" i="12"/>
  <c r="K113" i="13"/>
  <c r="J29" i="13"/>
  <c r="K66" i="13"/>
  <c r="H102" i="8"/>
  <c r="G151" i="7"/>
  <c r="H151" i="7"/>
  <c r="G111" i="7"/>
  <c r="H111" i="7"/>
  <c r="E153" i="7"/>
  <c r="K56" i="13"/>
  <c r="K194" i="13"/>
  <c r="J184" i="13"/>
  <c r="J194" i="13"/>
  <c r="J56" i="13"/>
  <c r="J188" i="13"/>
  <c r="H200" i="13"/>
  <c r="K99" i="13"/>
  <c r="J66" i="13"/>
  <c r="K29" i="13"/>
  <c r="K24" i="12"/>
  <c r="K19" i="12"/>
  <c r="H25" i="12"/>
  <c r="J19" i="12"/>
  <c r="I25" i="12"/>
  <c r="J25" i="12" s="1"/>
  <c r="K10" i="11"/>
  <c r="K11" i="11"/>
  <c r="J11" i="11"/>
  <c r="J10" i="11"/>
  <c r="H37" i="14"/>
  <c r="I35" i="14"/>
  <c r="H23" i="14"/>
  <c r="H15" i="14"/>
  <c r="I9" i="14"/>
  <c r="H9" i="14"/>
  <c r="G38" i="14"/>
  <c r="I38" i="14" s="1"/>
  <c r="H5" i="14"/>
  <c r="I5" i="14"/>
  <c r="H45" i="8"/>
  <c r="H85" i="8"/>
  <c r="J15" i="13"/>
  <c r="J199" i="13"/>
  <c r="J99" i="13"/>
  <c r="K184" i="13"/>
  <c r="G200" i="13"/>
  <c r="K15" i="13"/>
  <c r="K118" i="13"/>
  <c r="K188" i="13"/>
  <c r="K199" i="13"/>
  <c r="J118" i="13"/>
  <c r="I200" i="13"/>
  <c r="F153" i="7"/>
  <c r="D153" i="7"/>
  <c r="H8" i="8"/>
  <c r="G8" i="8"/>
  <c r="G38" i="8"/>
  <c r="G117" i="8"/>
  <c r="H117" i="8"/>
  <c r="H238" i="8"/>
  <c r="H18" i="8"/>
  <c r="H38" i="8"/>
  <c r="H53" i="8"/>
  <c r="H73" i="8"/>
  <c r="H91" i="8"/>
  <c r="G73" i="8"/>
  <c r="G85" i="8"/>
  <c r="G133" i="8"/>
  <c r="G145" i="8"/>
  <c r="H170" i="8"/>
  <c r="H210" i="8"/>
  <c r="H230" i="8"/>
  <c r="G53" i="8"/>
  <c r="H141" i="8"/>
  <c r="G45" i="8"/>
  <c r="G91" i="8"/>
  <c r="G102" i="8"/>
  <c r="G170" i="8"/>
  <c r="G210" i="8"/>
  <c r="G230" i="8"/>
  <c r="H49" i="8"/>
  <c r="H133" i="8"/>
  <c r="H157" i="8"/>
  <c r="H179" i="8"/>
  <c r="H225" i="8"/>
  <c r="G238" i="8"/>
  <c r="D244" i="8"/>
  <c r="G18" i="8"/>
  <c r="G49" i="8"/>
  <c r="G141" i="8"/>
  <c r="G157" i="8"/>
  <c r="G179" i="8"/>
  <c r="G225" i="8"/>
  <c r="F244" i="8"/>
  <c r="E244" i="8"/>
  <c r="H153" i="7" l="1"/>
  <c r="G153" i="7"/>
  <c r="K200" i="13"/>
  <c r="K25" i="12"/>
  <c r="H38" i="14"/>
  <c r="J200" i="13"/>
  <c r="H244" i="8"/>
  <c r="G244" i="8"/>
</calcChain>
</file>

<file path=xl/comments1.xml><?xml version="1.0" encoding="utf-8"?>
<comments xmlns="http://schemas.openxmlformats.org/spreadsheetml/2006/main">
  <authors>
    <author>Michaela Kozohorska</author>
    <author>Jiri Trnecka</author>
    <author>Jiří Trnečka</author>
    <author>Michala Schořová</author>
    <author>Katerina Moudra</author>
    <author>Šprňa Radek</author>
    <author>klimesoh</author>
    <author>Petr Bauer</author>
    <author>trnecka</author>
  </authors>
  <commentList>
    <comment ref="J3" authorId="0" shapeId="0">
      <text>
        <r>
          <rPr>
            <b/>
            <sz val="9"/>
            <color indexed="81"/>
            <rFont val="Tahoma"/>
            <family val="2"/>
            <charset val="238"/>
          </rPr>
          <t>Michaela Kozohorska:</t>
        </r>
        <r>
          <rPr>
            <sz val="9"/>
            <color indexed="81"/>
            <rFont val="Tahoma"/>
            <family val="2"/>
            <charset val="238"/>
          </rPr>
          <t xml:space="preserve">
původně 7 103
R7/001 na 8 170
R7/062 na 14 000</t>
        </r>
      </text>
    </comment>
    <comment ref="L19" authorId="1" shapeId="0">
      <text>
        <r>
          <rPr>
            <b/>
            <sz val="9"/>
            <color indexed="81"/>
            <rFont val="Tahoma"/>
            <family val="2"/>
            <charset val="238"/>
          </rPr>
          <t>Jiri Trnecka:</t>
        </r>
        <r>
          <rPr>
            <sz val="9"/>
            <color indexed="81"/>
            <rFont val="Tahoma"/>
            <family val="2"/>
            <charset val="238"/>
          </rPr>
          <t xml:space="preserve">
Změna</t>
        </r>
      </text>
    </comment>
    <comment ref="G20" authorId="2" shapeId="0">
      <text>
        <r>
          <rPr>
            <b/>
            <sz val="8"/>
            <color indexed="81"/>
            <rFont val="Tahoma"/>
            <family val="2"/>
            <charset val="238"/>
          </rPr>
          <t>Jiří Trnečka:</t>
        </r>
        <r>
          <rPr>
            <sz val="8"/>
            <color indexed="81"/>
            <rFont val="Tahoma"/>
            <family val="2"/>
            <charset val="238"/>
          </rPr>
          <t xml:space="preserve">
R6/138., CRN 510
R7/001 změna názvu, CRN 15 650
</t>
        </r>
      </text>
    </comment>
    <comment ref="G22" authorId="3" shapeId="0">
      <text>
        <r>
          <rPr>
            <b/>
            <sz val="9"/>
            <color indexed="81"/>
            <rFont val="Tahoma"/>
            <family val="2"/>
            <charset val="238"/>
          </rPr>
          <t>Michala Schořová:</t>
        </r>
        <r>
          <rPr>
            <sz val="9"/>
            <color indexed="81"/>
            <rFont val="Tahoma"/>
            <family val="2"/>
            <charset val="238"/>
          </rPr>
          <t xml:space="preserve">
R6/146 změna názvu</t>
        </r>
      </text>
    </comment>
    <comment ref="J22" authorId="3" shapeId="0">
      <text>
        <r>
          <rPr>
            <b/>
            <sz val="9"/>
            <color indexed="81"/>
            <rFont val="Tahoma"/>
            <family val="2"/>
            <charset val="238"/>
          </rPr>
          <t>Michala Schořová:</t>
        </r>
        <r>
          <rPr>
            <sz val="9"/>
            <color indexed="81"/>
            <rFont val="Tahoma"/>
            <family val="2"/>
            <charset val="238"/>
          </rPr>
          <t xml:space="preserve">
R6/146 snížila na 5 770 (pův. 5 962)
</t>
        </r>
      </text>
    </comment>
    <comment ref="R22" authorId="0" shapeId="0">
      <text>
        <r>
          <rPr>
            <b/>
            <sz val="9"/>
            <color indexed="81"/>
            <rFont val="Tahoma"/>
            <family val="2"/>
            <charset val="238"/>
          </rPr>
          <t>Michaela Kozohorska: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  <r>
          <rPr>
            <sz val="9"/>
            <color indexed="10"/>
            <rFont val="Tahoma"/>
            <family val="2"/>
            <charset val="238"/>
          </rPr>
          <t>CHYBA</t>
        </r>
        <r>
          <rPr>
            <sz val="9"/>
            <color indexed="81"/>
            <rFont val="Tahoma"/>
            <family val="2"/>
            <charset val="238"/>
          </rPr>
          <t xml:space="preserve">
CN nižší než rozpočet 2015
</t>
        </r>
      </text>
    </comment>
    <comment ref="S22" authorId="0" shapeId="0">
      <text>
        <r>
          <rPr>
            <b/>
            <sz val="9"/>
            <color indexed="81"/>
            <rFont val="Tahoma"/>
            <family val="2"/>
            <charset val="238"/>
          </rPr>
          <t>Michaela Kozohorska: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  <r>
          <rPr>
            <sz val="9"/>
            <color indexed="10"/>
            <rFont val="Tahoma"/>
            <family val="2"/>
            <charset val="238"/>
          </rPr>
          <t>CHYBA</t>
        </r>
        <r>
          <rPr>
            <sz val="9"/>
            <color indexed="81"/>
            <rFont val="Tahoma"/>
            <family val="2"/>
            <charset val="238"/>
          </rPr>
          <t xml:space="preserve">
CN nižší než rozpočet 2015
</t>
        </r>
      </text>
    </comment>
    <comment ref="J23" authorId="0" shapeId="0">
      <text>
        <r>
          <rPr>
            <b/>
            <sz val="9"/>
            <color indexed="81"/>
            <rFont val="Tahoma"/>
            <family val="2"/>
            <charset val="238"/>
          </rPr>
          <t>Michaela Kozohorska: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  <r>
          <rPr>
            <sz val="8"/>
            <color indexed="81"/>
            <rFont val="Tahoma"/>
            <family val="2"/>
            <charset val="238"/>
          </rPr>
          <t xml:space="preserve">CN z IZ, vyjádření ORF 2.12.2013, 
R6/135 schválen IZ
</t>
        </r>
      </text>
    </comment>
    <comment ref="G24" authorId="4" shapeId="0">
      <text>
        <r>
          <rPr>
            <b/>
            <sz val="9"/>
            <color indexed="81"/>
            <rFont val="Tahoma"/>
            <family val="2"/>
            <charset val="238"/>
          </rPr>
          <t>Katerina Moudra:</t>
        </r>
        <r>
          <rPr>
            <sz val="9"/>
            <color indexed="81"/>
            <rFont val="Tahoma"/>
            <family val="2"/>
            <charset val="238"/>
          </rPr>
          <t xml:space="preserve">
R7/026</t>
        </r>
      </text>
    </comment>
    <comment ref="J24" authorId="4" shapeId="0">
      <text>
        <r>
          <rPr>
            <b/>
            <sz val="9"/>
            <color indexed="81"/>
            <rFont val="Tahoma"/>
            <family val="2"/>
            <charset val="238"/>
          </rPr>
          <t>Katerina Moudra:</t>
        </r>
        <r>
          <rPr>
            <sz val="9"/>
            <color indexed="81"/>
            <rFont val="Tahoma"/>
            <family val="2"/>
            <charset val="238"/>
          </rPr>
          <t xml:space="preserve">
R7/026</t>
        </r>
      </text>
    </comment>
    <comment ref="J27" authorId="1" shapeId="0">
      <text>
        <r>
          <rPr>
            <b/>
            <sz val="9"/>
            <color indexed="81"/>
            <rFont val="Tahoma"/>
            <family val="2"/>
            <charset val="238"/>
          </rPr>
          <t>Jiri Trnecka:</t>
        </r>
        <r>
          <rPr>
            <sz val="9"/>
            <color indexed="81"/>
            <rFont val="Tahoma"/>
            <family val="2"/>
            <charset val="238"/>
          </rPr>
          <t xml:space="preserve">
R6/154</t>
        </r>
      </text>
    </comment>
    <comment ref="J29" authorId="2" shapeId="0">
      <text>
        <r>
          <rPr>
            <b/>
            <sz val="8"/>
            <color indexed="81"/>
            <rFont val="Tahoma"/>
            <family val="2"/>
            <charset val="238"/>
          </rPr>
          <t>Jiří Trnečka:</t>
        </r>
        <r>
          <rPr>
            <sz val="8"/>
            <color indexed="81"/>
            <rFont val="Tahoma"/>
            <family val="2"/>
            <charset val="238"/>
          </rPr>
          <t xml:space="preserve">
R6/150. 444 900</t>
        </r>
      </text>
    </comment>
    <comment ref="G31" authorId="2" shapeId="0">
      <text>
        <r>
          <rPr>
            <b/>
            <sz val="8"/>
            <color indexed="81"/>
            <rFont val="Tahoma"/>
            <family val="2"/>
            <charset val="238"/>
          </rPr>
          <t>Jiří Trnečka:</t>
        </r>
        <r>
          <rPr>
            <sz val="8"/>
            <color indexed="81"/>
            <rFont val="Tahoma"/>
            <family val="2"/>
            <charset val="238"/>
          </rPr>
          <t xml:space="preserve">
změna názvu R6/150.</t>
        </r>
      </text>
    </comment>
    <comment ref="J31" authorId="2" shapeId="0">
      <text>
        <r>
          <rPr>
            <b/>
            <sz val="8"/>
            <color indexed="81"/>
            <rFont val="Tahoma"/>
            <family val="2"/>
            <charset val="238"/>
          </rPr>
          <t>Jiří Trnečka:</t>
        </r>
        <r>
          <rPr>
            <sz val="8"/>
            <color indexed="81"/>
            <rFont val="Tahoma"/>
            <family val="2"/>
            <charset val="238"/>
          </rPr>
          <t xml:space="preserve">
R6/150.</t>
        </r>
      </text>
    </comment>
    <comment ref="G32" authorId="2" shapeId="0">
      <text>
        <r>
          <rPr>
            <b/>
            <sz val="8"/>
            <color indexed="81"/>
            <rFont val="Tahoma"/>
            <family val="2"/>
            <charset val="238"/>
          </rPr>
          <t>Jiří Trnečka:</t>
        </r>
        <r>
          <rPr>
            <sz val="8"/>
            <color indexed="81"/>
            <rFont val="Tahoma"/>
            <family val="2"/>
            <charset val="238"/>
          </rPr>
          <t xml:space="preserve">
R6/143., I. etapa</t>
        </r>
      </text>
    </comment>
    <comment ref="J35" authorId="0" shapeId="0">
      <text>
        <r>
          <rPr>
            <b/>
            <sz val="9"/>
            <color indexed="81"/>
            <rFont val="Tahoma"/>
            <family val="2"/>
            <charset val="238"/>
          </rPr>
          <t>Michaela Kozohorska:</t>
        </r>
        <r>
          <rPr>
            <sz val="9"/>
            <color indexed="81"/>
            <rFont val="Tahoma"/>
            <family val="2"/>
            <charset val="238"/>
          </rPr>
          <t xml:space="preserve">
původně 3000
R6/138 na 4 900
</t>
        </r>
      </text>
    </comment>
    <comment ref="J58" authorId="5" shapeId="0">
      <text>
        <r>
          <rPr>
            <b/>
            <sz val="9"/>
            <color indexed="81"/>
            <rFont val="Tahoma"/>
            <family val="2"/>
            <charset val="238"/>
          </rPr>
          <t>Šprňa Radek:</t>
        </r>
        <r>
          <rPr>
            <sz val="9"/>
            <color indexed="81"/>
            <rFont val="Tahoma"/>
            <family val="2"/>
            <charset val="238"/>
          </rPr>
          <t xml:space="preserve">
původně 91 681
R7/062 94 722
</t>
        </r>
      </text>
    </comment>
    <comment ref="G71" authorId="3" shapeId="0">
      <text>
        <r>
          <rPr>
            <b/>
            <sz val="9"/>
            <color indexed="81"/>
            <rFont val="Tahoma"/>
            <family val="2"/>
            <charset val="238"/>
          </rPr>
          <t>Michala Schořová:</t>
        </r>
        <r>
          <rPr>
            <sz val="9"/>
            <color indexed="81"/>
            <rFont val="Tahoma"/>
            <family val="2"/>
            <charset val="238"/>
          </rPr>
          <t xml:space="preserve">
IZ na R6/128</t>
        </r>
      </text>
    </comment>
    <comment ref="J77" authorId="6" shapeId="0">
      <text>
        <r>
          <rPr>
            <b/>
            <sz val="9"/>
            <color indexed="81"/>
            <rFont val="Tahoma"/>
            <family val="2"/>
            <charset val="238"/>
          </rPr>
          <t>klimesoh: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  <r>
          <rPr>
            <sz val="10"/>
            <color indexed="81"/>
            <rFont val="Tahoma"/>
            <family val="2"/>
            <charset val="238"/>
          </rPr>
          <t xml:space="preserve">R6/128 původně 53 923
R6/142, z 64 323 na 70 000
R6/145 na 71 500
R7/019 na 72 500
</t>
        </r>
      </text>
    </comment>
    <comment ref="J113" authorId="7" shapeId="0">
      <text>
        <r>
          <rPr>
            <b/>
            <sz val="9"/>
            <color indexed="81"/>
            <rFont val="Tahoma"/>
            <family val="2"/>
            <charset val="238"/>
          </rPr>
          <t>Petr Bauer:</t>
        </r>
        <r>
          <rPr>
            <sz val="9"/>
            <color indexed="81"/>
            <rFont val="Tahoma"/>
            <family val="2"/>
            <charset val="238"/>
          </rPr>
          <t xml:space="preserve">
Z6/028 bod č. 19 (nová akce)</t>
        </r>
      </text>
    </comment>
    <comment ref="J116" authorId="3" shapeId="0">
      <text>
        <r>
          <rPr>
            <b/>
            <sz val="9"/>
            <color indexed="81"/>
            <rFont val="Tahoma"/>
            <family val="2"/>
            <charset val="238"/>
          </rPr>
          <t>Michala Schořová:</t>
        </r>
        <r>
          <rPr>
            <sz val="9"/>
            <color indexed="81"/>
            <rFont val="Tahoma"/>
            <family val="2"/>
            <charset val="238"/>
          </rPr>
          <t xml:space="preserve">
R6/098 (pův. 23 000)</t>
        </r>
      </text>
    </comment>
    <comment ref="J169" authorId="7" shapeId="0">
      <text>
        <r>
          <rPr>
            <b/>
            <sz val="9"/>
            <color indexed="81"/>
            <rFont val="Tahoma"/>
            <family val="2"/>
            <charset val="238"/>
          </rPr>
          <t>Petr Bauer:</t>
        </r>
        <r>
          <rPr>
            <sz val="9"/>
            <color indexed="81"/>
            <rFont val="Tahoma"/>
            <family val="2"/>
            <charset val="238"/>
          </rPr>
          <t xml:space="preserve">
Z6/028 bod č. 19 (nová akce)
R6/134 (pův. 33 000)</t>
        </r>
      </text>
    </comment>
    <comment ref="J173" authorId="3" shapeId="0">
      <text>
        <r>
          <rPr>
            <b/>
            <sz val="9"/>
            <color indexed="81"/>
            <rFont val="Tahoma"/>
            <family val="2"/>
            <charset val="238"/>
          </rPr>
          <t>Michala Schořová:</t>
        </r>
        <r>
          <rPr>
            <sz val="9"/>
            <color indexed="81"/>
            <rFont val="Tahoma"/>
            <family val="2"/>
            <charset val="238"/>
          </rPr>
          <t xml:space="preserve">
R6/134 (pův. 25 811)</t>
        </r>
      </text>
    </comment>
    <comment ref="J177" authorId="3" shapeId="0">
      <text>
        <r>
          <rPr>
            <b/>
            <sz val="9"/>
            <color indexed="81"/>
            <rFont val="Tahoma"/>
            <family val="2"/>
            <charset val="238"/>
          </rPr>
          <t>Michala Schořová:</t>
        </r>
        <r>
          <rPr>
            <sz val="9"/>
            <color indexed="81"/>
            <rFont val="Tahoma"/>
            <family val="2"/>
            <charset val="238"/>
          </rPr>
          <t xml:space="preserve">
R6/134 (pův. 88 140)</t>
        </r>
      </text>
    </comment>
    <comment ref="J181" authorId="3" shapeId="0">
      <text>
        <r>
          <rPr>
            <b/>
            <sz val="9"/>
            <color indexed="81"/>
            <rFont val="Tahoma"/>
            <family val="2"/>
            <charset val="238"/>
          </rPr>
          <t>Michala Schořová:</t>
        </r>
        <r>
          <rPr>
            <sz val="9"/>
            <color indexed="81"/>
            <rFont val="Tahoma"/>
            <family val="2"/>
            <charset val="238"/>
          </rPr>
          <t xml:space="preserve">
R6/134 (pův. 8 100)</t>
        </r>
      </text>
    </comment>
    <comment ref="J189" authorId="3" shapeId="0">
      <text>
        <r>
          <rPr>
            <b/>
            <sz val="9"/>
            <color indexed="81"/>
            <rFont val="Tahoma"/>
            <family val="2"/>
            <charset val="238"/>
          </rPr>
          <t>Michala Schořová:</t>
        </r>
        <r>
          <rPr>
            <sz val="9"/>
            <color indexed="81"/>
            <rFont val="Tahoma"/>
            <family val="2"/>
            <charset val="238"/>
          </rPr>
          <t xml:space="preserve">
R6/098 (85 000)</t>
        </r>
      </text>
    </comment>
    <comment ref="J190" authorId="3" shapeId="0">
      <text>
        <r>
          <rPr>
            <b/>
            <sz val="9"/>
            <color indexed="81"/>
            <rFont val="Tahoma"/>
            <family val="2"/>
            <charset val="238"/>
          </rPr>
          <t>Michala Schořová:</t>
        </r>
        <r>
          <rPr>
            <sz val="9"/>
            <color indexed="81"/>
            <rFont val="Tahoma"/>
            <family val="2"/>
            <charset val="238"/>
          </rPr>
          <t xml:space="preserve">
R6/098 (pův. 28 350)</t>
        </r>
      </text>
    </comment>
    <comment ref="J191" authorId="3" shapeId="0">
      <text>
        <r>
          <rPr>
            <b/>
            <sz val="9"/>
            <color indexed="81"/>
            <rFont val="Tahoma"/>
            <family val="2"/>
            <charset val="238"/>
          </rPr>
          <t>Michala Schořová:</t>
        </r>
        <r>
          <rPr>
            <sz val="9"/>
            <color indexed="81"/>
            <rFont val="Tahoma"/>
            <family val="2"/>
            <charset val="238"/>
          </rPr>
          <t xml:space="preserve">
R6/098 (pův. 52 000)</t>
        </r>
      </text>
    </comment>
    <comment ref="J193" authorId="3" shapeId="0">
      <text>
        <r>
          <rPr>
            <b/>
            <sz val="9"/>
            <color indexed="81"/>
            <rFont val="Tahoma"/>
            <family val="2"/>
            <charset val="238"/>
          </rPr>
          <t>Michala Schořová:</t>
        </r>
        <r>
          <rPr>
            <sz val="9"/>
            <color indexed="81"/>
            <rFont val="Tahoma"/>
            <family val="2"/>
            <charset val="238"/>
          </rPr>
          <t xml:space="preserve">
R6/098 (pův. 7 500)</t>
        </r>
      </text>
    </comment>
    <comment ref="J195" authorId="3" shapeId="0">
      <text>
        <r>
          <rPr>
            <b/>
            <sz val="9"/>
            <color indexed="81"/>
            <rFont val="Tahoma"/>
            <family val="2"/>
            <charset val="238"/>
          </rPr>
          <t>Michala Schořová:</t>
        </r>
        <r>
          <rPr>
            <sz val="9"/>
            <color indexed="81"/>
            <rFont val="Tahoma"/>
            <family val="2"/>
            <charset val="238"/>
          </rPr>
          <t xml:space="preserve">
R6/098 (pův. 86 000)</t>
        </r>
      </text>
    </comment>
    <comment ref="J197" authorId="3" shapeId="0">
      <text>
        <r>
          <rPr>
            <b/>
            <sz val="9"/>
            <color indexed="81"/>
            <rFont val="Tahoma"/>
            <family val="2"/>
            <charset val="238"/>
          </rPr>
          <t>Michala Schořová:</t>
        </r>
        <r>
          <rPr>
            <sz val="9"/>
            <color indexed="81"/>
            <rFont val="Tahoma"/>
            <family val="2"/>
            <charset val="238"/>
          </rPr>
          <t xml:space="preserve">
R6/134 (50 100)</t>
        </r>
      </text>
    </comment>
    <comment ref="J199" authorId="3" shapeId="0">
      <text>
        <r>
          <rPr>
            <b/>
            <sz val="9"/>
            <color indexed="81"/>
            <rFont val="Tahoma"/>
            <family val="2"/>
            <charset val="238"/>
          </rPr>
          <t>Michala Schořová:</t>
        </r>
        <r>
          <rPr>
            <sz val="9"/>
            <color indexed="81"/>
            <rFont val="Tahoma"/>
            <family val="2"/>
            <charset val="238"/>
          </rPr>
          <t xml:space="preserve">
R6/057</t>
        </r>
      </text>
    </comment>
    <comment ref="J201" authorId="3" shapeId="0">
      <text>
        <r>
          <rPr>
            <b/>
            <sz val="9"/>
            <color indexed="81"/>
            <rFont val="Tahoma"/>
            <family val="2"/>
            <charset val="238"/>
          </rPr>
          <t>Michala Schořová:</t>
        </r>
        <r>
          <rPr>
            <sz val="9"/>
            <color indexed="81"/>
            <rFont val="Tahoma"/>
            <family val="2"/>
            <charset val="238"/>
          </rPr>
          <t xml:space="preserve">
R6/057</t>
        </r>
      </text>
    </comment>
    <comment ref="J207" authorId="3" shapeId="0">
      <text>
        <r>
          <rPr>
            <b/>
            <sz val="9"/>
            <color indexed="81"/>
            <rFont val="Tahoma"/>
            <family val="2"/>
            <charset val="238"/>
          </rPr>
          <t>Michala Schořová:</t>
        </r>
        <r>
          <rPr>
            <sz val="9"/>
            <color indexed="81"/>
            <rFont val="Tahoma"/>
            <family val="2"/>
            <charset val="238"/>
          </rPr>
          <t xml:space="preserve">
R6/111 (pův. 17 000)</t>
        </r>
      </text>
    </comment>
    <comment ref="J208" authorId="3" shapeId="0">
      <text>
        <r>
          <rPr>
            <b/>
            <sz val="9"/>
            <color indexed="81"/>
            <rFont val="Tahoma"/>
            <family val="2"/>
            <charset val="238"/>
          </rPr>
          <t>Michala Schořová:</t>
        </r>
        <r>
          <rPr>
            <sz val="9"/>
            <color indexed="81"/>
            <rFont val="Tahoma"/>
            <family val="2"/>
            <charset val="238"/>
          </rPr>
          <t xml:space="preserve">
R6/098 (pův. 10 650)</t>
        </r>
      </text>
    </comment>
    <comment ref="J209" authorId="3" shapeId="0">
      <text>
        <r>
          <rPr>
            <b/>
            <sz val="9"/>
            <color indexed="81"/>
            <rFont val="Tahoma"/>
            <family val="2"/>
            <charset val="238"/>
          </rPr>
          <t>Michala Schořová:</t>
        </r>
        <r>
          <rPr>
            <sz val="9"/>
            <color indexed="81"/>
            <rFont val="Tahoma"/>
            <family val="2"/>
            <charset val="238"/>
          </rPr>
          <t xml:space="preserve">
R6/134 (pův. 5 400)</t>
        </r>
      </text>
    </comment>
    <comment ref="J210" authorId="3" shapeId="0">
      <text>
        <r>
          <rPr>
            <b/>
            <sz val="9"/>
            <color indexed="81"/>
            <rFont val="Tahoma"/>
            <family val="2"/>
            <charset val="238"/>
          </rPr>
          <t>Michala Schořová:</t>
        </r>
        <r>
          <rPr>
            <sz val="9"/>
            <color indexed="81"/>
            <rFont val="Tahoma"/>
            <family val="2"/>
            <charset val="238"/>
          </rPr>
          <t xml:space="preserve">
R6/098 (pův. 69 400)</t>
        </r>
      </text>
    </comment>
    <comment ref="J214" authorId="7" shapeId="0">
      <text>
        <r>
          <rPr>
            <b/>
            <sz val="9"/>
            <color indexed="81"/>
            <rFont val="Tahoma"/>
            <family val="2"/>
            <charset val="238"/>
          </rPr>
          <t>Petr Bauer:</t>
        </r>
        <r>
          <rPr>
            <sz val="9"/>
            <color indexed="81"/>
            <rFont val="Tahoma"/>
            <family val="2"/>
            <charset val="238"/>
          </rPr>
          <t xml:space="preserve">
Z6/028 bod č. 19 (pův. 3683)</t>
        </r>
      </text>
    </comment>
    <comment ref="J215" authorId="3" shapeId="0">
      <text>
        <r>
          <rPr>
            <b/>
            <sz val="9"/>
            <color indexed="81"/>
            <rFont val="Tahoma"/>
            <family val="2"/>
            <charset val="238"/>
          </rPr>
          <t>Michala Schořová:</t>
        </r>
        <r>
          <rPr>
            <sz val="9"/>
            <color indexed="81"/>
            <rFont val="Tahoma"/>
            <family val="2"/>
            <charset val="238"/>
          </rPr>
          <t xml:space="preserve">
R6/068</t>
        </r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  <r>
          <rPr>
            <sz val="9"/>
            <color indexed="81"/>
            <rFont val="Tahoma"/>
            <family val="2"/>
            <charset val="238"/>
          </rPr>
          <t>R6/111 (pův. 190 000)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J218" authorId="3" shapeId="0">
      <text>
        <r>
          <rPr>
            <b/>
            <sz val="9"/>
            <color indexed="81"/>
            <rFont val="Tahoma"/>
            <family val="2"/>
            <charset val="238"/>
          </rPr>
          <t>Michala Schořová:</t>
        </r>
        <r>
          <rPr>
            <sz val="9"/>
            <color indexed="81"/>
            <rFont val="Tahoma"/>
            <family val="2"/>
            <charset val="238"/>
          </rPr>
          <t xml:space="preserve">
R6/068</t>
        </r>
      </text>
    </comment>
    <comment ref="J220" authorId="3" shapeId="0">
      <text>
        <r>
          <rPr>
            <b/>
            <sz val="9"/>
            <color indexed="81"/>
            <rFont val="Tahoma"/>
            <family val="2"/>
            <charset val="238"/>
          </rPr>
          <t>Michala Schořová:</t>
        </r>
        <r>
          <rPr>
            <sz val="9"/>
            <color indexed="81"/>
            <rFont val="Tahoma"/>
            <family val="2"/>
            <charset val="238"/>
          </rPr>
          <t xml:space="preserve">
R6/134 (pův. 117 143)</t>
        </r>
      </text>
    </comment>
    <comment ref="J267" authorId="5" shapeId="0">
      <text>
        <r>
          <rPr>
            <b/>
            <sz val="9"/>
            <color indexed="81"/>
            <rFont val="Tahoma"/>
            <family val="2"/>
            <charset val="238"/>
          </rPr>
          <t>Šprňa Radek:</t>
        </r>
        <r>
          <rPr>
            <sz val="9"/>
            <color indexed="81"/>
            <rFont val="Tahoma"/>
            <family val="2"/>
            <charset val="238"/>
          </rPr>
          <t xml:space="preserve">
Pův. CRN 55 000 tis. Kč
R7/062. RMB - CRN 57 303 tis. Kč</t>
        </r>
      </text>
    </comment>
    <comment ref="G277" authorId="4" shapeId="0">
      <text>
        <r>
          <rPr>
            <b/>
            <sz val="9"/>
            <color indexed="81"/>
            <rFont val="Tahoma"/>
            <family val="2"/>
            <charset val="238"/>
          </rPr>
          <t>Katerina Moudra:</t>
        </r>
        <r>
          <rPr>
            <sz val="9"/>
            <color indexed="81"/>
            <rFont val="Tahoma"/>
            <family val="2"/>
            <charset val="238"/>
          </rPr>
          <t xml:space="preserve">
Z7/09 bod 17
</t>
        </r>
      </text>
    </comment>
    <comment ref="J287" authorId="5" shapeId="0">
      <text>
        <r>
          <rPr>
            <b/>
            <sz val="9"/>
            <color indexed="81"/>
            <rFont val="Tahoma"/>
            <family val="2"/>
            <charset val="238"/>
          </rPr>
          <t>Šprňa Radek:</t>
        </r>
        <r>
          <rPr>
            <sz val="9"/>
            <color indexed="81"/>
            <rFont val="Tahoma"/>
            <family val="2"/>
            <charset val="238"/>
          </rPr>
          <t xml:space="preserve">
původně 9 300
R7/062. 9 777 tis. Kč
</t>
        </r>
      </text>
    </comment>
    <comment ref="J299" authorId="3" shapeId="0">
      <text>
        <r>
          <rPr>
            <b/>
            <sz val="9"/>
            <color indexed="81"/>
            <rFont val="Tahoma"/>
            <family val="2"/>
            <charset val="238"/>
          </rPr>
          <t>Michala Schořová:</t>
        </r>
        <r>
          <rPr>
            <sz val="9"/>
            <color indexed="81"/>
            <rFont val="Tahoma"/>
            <family val="2"/>
            <charset val="238"/>
          </rPr>
          <t xml:space="preserve">
návrh změny názvu, doby realizace a CRN na Z6/026
pův. 28 000
R6/144 - schváleno posouzení projektu a žádost o dot. s vyššími celkovými náklady projektu (48 mil. Kč), R7/019. - 50 mil.</t>
        </r>
      </text>
    </comment>
    <comment ref="J313" authorId="6" shapeId="0">
      <text>
        <r>
          <rPr>
            <b/>
            <sz val="9"/>
            <color indexed="81"/>
            <rFont val="Tahoma"/>
            <family val="2"/>
            <charset val="238"/>
          </rPr>
          <t>klimesoh:</t>
        </r>
        <r>
          <rPr>
            <sz val="9"/>
            <color indexed="81"/>
            <rFont val="Tahoma"/>
            <family val="2"/>
            <charset val="238"/>
          </rPr>
          <t xml:space="preserve">
z 30 139 tis. Kč, Z6/034, 20.5.2014, bod č. 74</t>
        </r>
      </text>
    </comment>
    <comment ref="J315" authorId="3" shapeId="0">
      <text>
        <r>
          <rPr>
            <b/>
            <sz val="9"/>
            <color indexed="81"/>
            <rFont val="Tahoma"/>
            <family val="2"/>
            <charset val="238"/>
          </rPr>
          <t>Michala Schořová:</t>
        </r>
        <r>
          <rPr>
            <sz val="9"/>
            <color indexed="81"/>
            <rFont val="Tahoma"/>
            <family val="2"/>
            <charset val="238"/>
          </rPr>
          <t xml:space="preserve">
R6/144 (pův. 6 743)</t>
        </r>
      </text>
    </comment>
    <comment ref="J321" authorId="3" shapeId="0">
      <text>
        <r>
          <rPr>
            <b/>
            <sz val="9"/>
            <color indexed="81"/>
            <rFont val="Tahoma"/>
            <family val="2"/>
            <charset val="238"/>
          </rPr>
          <t>Michala Schořová:</t>
        </r>
        <r>
          <rPr>
            <sz val="9"/>
            <color indexed="81"/>
            <rFont val="Tahoma"/>
            <family val="2"/>
            <charset val="238"/>
          </rPr>
          <t xml:space="preserve">
R6/137 - žádost o dot. S vyššími celkovými náklady projektu (26 mil. Kč), R6/151 - 23 mil.</t>
        </r>
      </text>
    </comment>
    <comment ref="J324" authorId="3" shapeId="0">
      <text>
        <r>
          <rPr>
            <b/>
            <sz val="9"/>
            <color indexed="81"/>
            <rFont val="Tahoma"/>
            <family val="2"/>
            <charset val="238"/>
          </rPr>
          <t>Michala Schořová:</t>
        </r>
        <r>
          <rPr>
            <sz val="9"/>
            <color indexed="81"/>
            <rFont val="Tahoma"/>
            <family val="2"/>
            <charset val="238"/>
          </rPr>
          <t xml:space="preserve">
R6/142 (pův. 98 900)</t>
        </r>
      </text>
    </comment>
    <comment ref="J343" authorId="4" shapeId="0">
      <text>
        <r>
          <rPr>
            <b/>
            <sz val="9"/>
            <color indexed="81"/>
            <rFont val="Tahoma"/>
            <family val="2"/>
            <charset val="238"/>
          </rPr>
          <t>Katerina Moudra:</t>
        </r>
        <r>
          <rPr>
            <sz val="9"/>
            <color indexed="81"/>
            <rFont val="Tahoma"/>
            <family val="2"/>
            <charset val="238"/>
          </rPr>
          <t xml:space="preserve">
R7/067 z 7 mil. na 8 mil.</t>
        </r>
      </text>
    </comment>
    <comment ref="J344" authorId="7" shapeId="0">
      <text>
        <r>
          <rPr>
            <b/>
            <sz val="9"/>
            <color indexed="81"/>
            <rFont val="Tahoma"/>
            <family val="2"/>
            <charset val="238"/>
          </rPr>
          <t>Petr Bauer:</t>
        </r>
        <r>
          <rPr>
            <sz val="9"/>
            <color indexed="81"/>
            <rFont val="Tahoma"/>
            <family val="2"/>
            <charset val="238"/>
          </rPr>
          <t xml:space="preserve">
zařazeno Z6/027, bod č. 13
</t>
        </r>
      </text>
    </comment>
    <comment ref="J346" authorId="3" shapeId="0">
      <text>
        <r>
          <rPr>
            <b/>
            <sz val="9"/>
            <color indexed="81"/>
            <rFont val="Tahoma"/>
            <family val="2"/>
            <charset val="238"/>
          </rPr>
          <t>Michala Schořová:</t>
        </r>
        <r>
          <rPr>
            <sz val="9"/>
            <color indexed="81"/>
            <rFont val="Tahoma"/>
            <family val="2"/>
            <charset val="238"/>
          </rPr>
          <t xml:space="preserve">
R6/111 (pův. 240 000), navýšeno na 270 000
R7/001 na 320 000
R7/  na 365 mil.</t>
        </r>
      </text>
    </comment>
    <comment ref="I347" authorId="4" shapeId="0">
      <text>
        <r>
          <rPr>
            <b/>
            <sz val="9"/>
            <color indexed="81"/>
            <rFont val="Tahoma"/>
            <family val="2"/>
            <charset val="238"/>
          </rPr>
          <t>Katerina Moudra:</t>
        </r>
        <r>
          <rPr>
            <sz val="9"/>
            <color indexed="81"/>
            <rFont val="Tahoma"/>
            <family val="2"/>
            <charset val="238"/>
          </rPr>
          <t xml:space="preserve">
R6/150
R7/037</t>
        </r>
      </text>
    </comment>
    <comment ref="J347" authorId="3" shapeId="0">
      <text>
        <r>
          <rPr>
            <b/>
            <sz val="9"/>
            <color indexed="81"/>
            <rFont val="Tahoma"/>
            <family val="2"/>
            <charset val="238"/>
          </rPr>
          <t>Michala Schořová:</t>
        </r>
        <r>
          <rPr>
            <sz val="9"/>
            <color indexed="81"/>
            <rFont val="Tahoma"/>
            <family val="2"/>
            <charset val="238"/>
          </rPr>
          <t xml:space="preserve">
R6/061
Z6/019
</t>
        </r>
        <r>
          <rPr>
            <b/>
            <sz val="9"/>
            <color indexed="81"/>
            <rFont val="Tahoma"/>
            <family val="2"/>
            <charset val="238"/>
          </rPr>
          <t>feigerlo:</t>
        </r>
        <r>
          <rPr>
            <sz val="9"/>
            <color indexed="81"/>
            <rFont val="Tahoma"/>
            <family val="2"/>
            <charset val="238"/>
          </rPr>
          <t xml:space="preserve">
R6/118
R7/037 navýšení</t>
        </r>
      </text>
    </comment>
    <comment ref="J358" authorId="0" shapeId="0">
      <text>
        <r>
          <rPr>
            <b/>
            <sz val="9"/>
            <color indexed="81"/>
            <rFont val="Tahoma"/>
            <family val="2"/>
            <charset val="238"/>
          </rPr>
          <t>Michaela Kozohorska:</t>
        </r>
        <r>
          <rPr>
            <sz val="9"/>
            <color indexed="81"/>
            <rFont val="Tahoma"/>
            <family val="2"/>
            <charset val="238"/>
          </rPr>
          <t xml:space="preserve">
původně 17 300
R6/138 na 19 100
R7/001 na 30 350
na 30 428</t>
        </r>
      </text>
    </comment>
    <comment ref="J366" authorId="7" shapeId="0">
      <text>
        <r>
          <rPr>
            <b/>
            <sz val="9"/>
            <color indexed="81"/>
            <rFont val="Tahoma"/>
            <family val="2"/>
            <charset val="238"/>
          </rPr>
          <t>Petr Bauer:</t>
        </r>
        <r>
          <rPr>
            <sz val="9"/>
            <color indexed="81"/>
            <rFont val="Tahoma"/>
            <family val="2"/>
            <charset val="238"/>
          </rPr>
          <t xml:space="preserve">
akce nebyla zařazena usnesením RMB - OD na to zapomněl; schváleno RO v ZMB Z6/026, bod 140
</t>
        </r>
      </text>
    </comment>
    <comment ref="J374" authorId="3" shapeId="0">
      <text>
        <r>
          <rPr>
            <b/>
            <sz val="9"/>
            <color indexed="81"/>
            <rFont val="Tahoma"/>
            <family val="2"/>
            <charset val="238"/>
          </rPr>
          <t>Michala Schořová:</t>
        </r>
        <r>
          <rPr>
            <sz val="9"/>
            <color indexed="81"/>
            <rFont val="Tahoma"/>
            <family val="2"/>
            <charset val="238"/>
          </rPr>
          <t xml:space="preserve">
Z6/019
Z6/023 (pův. 29 457)</t>
        </r>
        <r>
          <rPr>
            <b/>
            <sz val="9"/>
            <color indexed="81"/>
            <rFont val="Tahoma"/>
            <family val="2"/>
            <charset val="238"/>
          </rPr>
          <t>Petr Bauer:</t>
        </r>
        <r>
          <rPr>
            <sz val="9"/>
            <color indexed="81"/>
            <rFont val="Tahoma"/>
            <family val="2"/>
            <charset val="238"/>
          </rPr>
          <t xml:space="preserve">
Z6/027 32.457 (pův. 31.457)
Z6/030 (pův. 32 457)
R6/147 (pův. 33 457)
Z6/036  zvýšení na 36.957 (pův. 35.457)
R7/062 zvýšení na 45.876 tis. Kč (pův. 36.957)</t>
        </r>
      </text>
    </comment>
    <comment ref="J384" authorId="8" shapeId="0">
      <text>
        <r>
          <rPr>
            <b/>
            <sz val="9"/>
            <color indexed="81"/>
            <rFont val="Tahoma"/>
            <family val="2"/>
            <charset val="238"/>
          </rPr>
          <t>trnecka:</t>
        </r>
        <r>
          <rPr>
            <sz val="9"/>
            <color indexed="81"/>
            <rFont val="Tahoma"/>
            <family val="2"/>
            <charset val="238"/>
          </rPr>
          <t xml:space="preserve">
pův. 1 875</t>
        </r>
      </text>
    </comment>
    <comment ref="J389" authorId="5" shapeId="0">
      <text>
        <r>
          <rPr>
            <b/>
            <sz val="9"/>
            <color indexed="81"/>
            <rFont val="Tahoma"/>
            <family val="2"/>
            <charset val="238"/>
          </rPr>
          <t>Šprňa Radek:</t>
        </r>
        <r>
          <rPr>
            <sz val="9"/>
            <color indexed="81"/>
            <rFont val="Tahoma"/>
            <family val="2"/>
            <charset val="238"/>
          </rPr>
          <t xml:space="preserve">
původně 1 525
R7/062. 3 970
</t>
        </r>
      </text>
    </comment>
    <comment ref="J426" authorId="3" shapeId="0">
      <text>
        <r>
          <rPr>
            <b/>
            <sz val="9"/>
            <color indexed="81"/>
            <rFont val="Tahoma"/>
            <family val="2"/>
            <charset val="238"/>
          </rPr>
          <t>Michala Schořová:</t>
        </r>
        <r>
          <rPr>
            <sz val="9"/>
            <color indexed="81"/>
            <rFont val="Tahoma"/>
            <family val="2"/>
            <charset val="238"/>
          </rPr>
          <t xml:space="preserve">
Z6/024 (pův. 33 000)</t>
        </r>
      </text>
    </comment>
    <comment ref="J432" authorId="6" shapeId="0">
      <text>
        <r>
          <rPr>
            <b/>
            <sz val="9"/>
            <color indexed="81"/>
            <rFont val="Tahoma"/>
            <family val="2"/>
            <charset val="238"/>
          </rPr>
          <t>klimesoh:</t>
        </r>
        <r>
          <rPr>
            <sz val="9"/>
            <color indexed="81"/>
            <rFont val="Tahoma"/>
            <family val="2"/>
            <charset val="238"/>
          </rPr>
          <t xml:space="preserve">
Z6/026, původně 16 440 tis. Kč
</t>
        </r>
      </text>
    </comment>
    <comment ref="J445" authorId="0" shapeId="0">
      <text>
        <r>
          <rPr>
            <b/>
            <sz val="9"/>
            <color indexed="81"/>
            <rFont val="Tahoma"/>
            <family val="2"/>
            <charset val="238"/>
          </rPr>
          <t>Michaela Kozohorska:</t>
        </r>
        <r>
          <rPr>
            <sz val="9"/>
            <color indexed="81"/>
            <rFont val="Tahoma"/>
            <family val="2"/>
            <charset val="238"/>
          </rPr>
          <t xml:space="preserve">
původně 18 875
R7/001 na 37 314</t>
        </r>
      </text>
    </comment>
    <comment ref="G464" authorId="3" shapeId="0">
      <text>
        <r>
          <rPr>
            <b/>
            <sz val="9"/>
            <color indexed="81"/>
            <rFont val="Tahoma"/>
            <family val="2"/>
            <charset val="238"/>
          </rPr>
          <t>Michala Schořová:</t>
        </r>
        <r>
          <rPr>
            <sz val="9"/>
            <color indexed="81"/>
            <rFont val="Tahoma"/>
            <family val="2"/>
            <charset val="238"/>
          </rPr>
          <t xml:space="preserve">
obsahuje i již realizovanou klimatizaci na Husova 5, 12</t>
        </r>
      </text>
    </comment>
    <comment ref="J464" authorId="0" shapeId="0">
      <text>
        <r>
          <rPr>
            <b/>
            <sz val="9"/>
            <color indexed="81"/>
            <rFont val="Tahoma"/>
            <family val="2"/>
            <charset val="238"/>
          </rPr>
          <t>Michaela Kozohorska:</t>
        </r>
        <r>
          <rPr>
            <sz val="9"/>
            <color indexed="81"/>
            <rFont val="Tahoma"/>
            <family val="2"/>
            <charset val="238"/>
          </rPr>
          <t xml:space="preserve">
původně 15 058
R6/138 na 17 758
R7/051 z 19058 na 24 521</t>
        </r>
      </text>
    </comment>
    <comment ref="J467" authorId="3" shapeId="0">
      <text>
        <r>
          <rPr>
            <b/>
            <sz val="9"/>
            <color indexed="81"/>
            <rFont val="Tahoma"/>
            <family val="2"/>
            <charset val="238"/>
          </rPr>
          <t>Michala Schořová:</t>
        </r>
        <r>
          <rPr>
            <sz val="9"/>
            <color indexed="81"/>
            <rFont val="Tahoma"/>
            <family val="2"/>
            <charset val="238"/>
          </rPr>
          <t xml:space="preserve">
Z6/023 (pův. 15 834)</t>
        </r>
        <r>
          <rPr>
            <b/>
            <sz val="9"/>
            <color indexed="81"/>
            <rFont val="Tahoma"/>
            <family val="2"/>
            <charset val="238"/>
          </rPr>
          <t>Petr Bauer:</t>
        </r>
        <r>
          <rPr>
            <sz val="9"/>
            <color indexed="81"/>
            <rFont val="Tahoma"/>
            <family val="2"/>
            <charset val="238"/>
          </rPr>
          <t xml:space="preserve">
Z6/027 20.334 (pův. 19.334)
Z6/030 (pův. 20.334)
R6/138 z 22 334 na 22 751
navýšení nákladů R7/062 dne 26.4.2016 (pův 24 736 tis. Kč)</t>
        </r>
      </text>
    </comment>
  </commentList>
</comments>
</file>

<file path=xl/sharedStrings.xml><?xml version="1.0" encoding="utf-8"?>
<sst xmlns="http://schemas.openxmlformats.org/spreadsheetml/2006/main" count="2863" uniqueCount="998">
  <si>
    <t>§</t>
  </si>
  <si>
    <t>Pohřebnictví</t>
  </si>
  <si>
    <t>Péče o vzhled obcí a veřejnou zeleň</t>
  </si>
  <si>
    <t>Název paragrafu</t>
  </si>
  <si>
    <t>Odbor životního prostředí</t>
  </si>
  <si>
    <t>Pitná voda</t>
  </si>
  <si>
    <t>Ochrana druhů a stanovišť</t>
  </si>
  <si>
    <t>Chráněné části přírody</t>
  </si>
  <si>
    <t>Ekologická výchova a osvěta</t>
  </si>
  <si>
    <t>Činnost místní správy</t>
  </si>
  <si>
    <t>Veřejné osvětlení</t>
  </si>
  <si>
    <t>Bytové hospodářství</t>
  </si>
  <si>
    <t>Všeobecná ambulantní péče</t>
  </si>
  <si>
    <t>7100 Celkem</t>
  </si>
  <si>
    <t>5400 Celkem</t>
  </si>
  <si>
    <t>5600 Celkem</t>
  </si>
  <si>
    <t>Odbor dopravy</t>
  </si>
  <si>
    <t>Odbor investiční</t>
  </si>
  <si>
    <t>Silnice</t>
  </si>
  <si>
    <t>Ostatní dráhy</t>
  </si>
  <si>
    <t>Odvádění a čištění odpadních vod j.n.</t>
  </si>
  <si>
    <t>Úpravy drobných vodních toků</t>
  </si>
  <si>
    <t>Základní školy</t>
  </si>
  <si>
    <t>Divadelní činnost</t>
  </si>
  <si>
    <t xml:space="preserve">Činnost místní správy </t>
  </si>
  <si>
    <t>7300 Celkem</t>
  </si>
  <si>
    <t>Zachování a obnova kulturních památek</t>
  </si>
  <si>
    <t>8200 Celkem</t>
  </si>
  <si>
    <t>Odbor kultury</t>
  </si>
  <si>
    <t>Městská policie</t>
  </si>
  <si>
    <t>5311</t>
  </si>
  <si>
    <t xml:space="preserve">Bezpečnost a veřejný pořádek </t>
  </si>
  <si>
    <t>3200 Celkem</t>
  </si>
  <si>
    <t>7200 Celkem</t>
  </si>
  <si>
    <t>Odbor vnitřních věcí</t>
  </si>
  <si>
    <t>Odbor městské informatiky</t>
  </si>
  <si>
    <t>Ostatní činnosti j.n.</t>
  </si>
  <si>
    <t>Odbor sociální péče</t>
  </si>
  <si>
    <t>Odbor školství, mládeže a tělovýchovy</t>
  </si>
  <si>
    <t xml:space="preserve">Komunální služby a územní rozvoj </t>
  </si>
  <si>
    <t>5300 Celkem</t>
  </si>
  <si>
    <t>Odbor rozpočtu a financování</t>
  </si>
  <si>
    <t>Odbor vodního a lesního hospodářství a zemědělství</t>
  </si>
  <si>
    <t>Výstavba a údržba místních inženýrských sítí</t>
  </si>
  <si>
    <t>Ostatní ústavní péče</t>
  </si>
  <si>
    <t>Ostatní záležitosti kultury</t>
  </si>
  <si>
    <t>Ostatní tělovýchovná činnost</t>
  </si>
  <si>
    <t xml:space="preserve"> % Sk/SR</t>
  </si>
  <si>
    <t xml:space="preserve"> %Sk/UR</t>
  </si>
  <si>
    <t>Odvádění a čištění odp. vod a nakládání s kaly</t>
  </si>
  <si>
    <t>Ostatní záležitosti pozemních komunikací</t>
  </si>
  <si>
    <t>Kapitálové výdaje města celkem</t>
  </si>
  <si>
    <t>Archiv města Brna</t>
  </si>
  <si>
    <t>Archivní činnost</t>
  </si>
  <si>
    <t>Ostatní záležitosti sdělovacích prostředků</t>
  </si>
  <si>
    <t>Ostatní zájmová činnost a rekreace</t>
  </si>
  <si>
    <t>Zastupitelstva obcí</t>
  </si>
  <si>
    <t>Odbor obrany</t>
  </si>
  <si>
    <t>3600 Celkem</t>
  </si>
  <si>
    <t>Finanční operace j.n.</t>
  </si>
  <si>
    <t>Ozdravování hospodářských zvířat a plodin</t>
  </si>
  <si>
    <t>Monitoring ochrany ovzduší</t>
  </si>
  <si>
    <t>Sběr a svoz komunálních odpadů</t>
  </si>
  <si>
    <t>Využívání a zneškodňování komun. odpadů</t>
  </si>
  <si>
    <t>Ostatní nakládání s odpady</t>
  </si>
  <si>
    <t>Monitoring půdy a podzemní vody</t>
  </si>
  <si>
    <t>Ostatní ochrana půdy a spodní vody</t>
  </si>
  <si>
    <t xml:space="preserve">Celospolečenské funkce lesů </t>
  </si>
  <si>
    <t xml:space="preserve">Pitná voda </t>
  </si>
  <si>
    <t>Územní plánování</t>
  </si>
  <si>
    <t xml:space="preserve">Protierozní a protipožární ochrana </t>
  </si>
  <si>
    <t>Ostatní záležitosti v dopravě</t>
  </si>
  <si>
    <t>Odvádění a čištění odp.vod a nakládání s kaly</t>
  </si>
  <si>
    <t>Ostatní záležitosti bydlení a komunálních služeb</t>
  </si>
  <si>
    <t>3639</t>
  </si>
  <si>
    <t>6200 Celkem</t>
  </si>
  <si>
    <t>Soc. pomoc os. v hmot. nouzi a soc. nepřizpůsobivým</t>
  </si>
  <si>
    <t>Ostatní finanční operace</t>
  </si>
  <si>
    <t>6600 Celkem</t>
  </si>
  <si>
    <t>Odbor územního plánování a rozvoje</t>
  </si>
  <si>
    <t>Odborné léčebné ústavy</t>
  </si>
  <si>
    <t>Ostatní zdr.zařízení a služby pro zdravotnictví</t>
  </si>
  <si>
    <t>Ostatní činnost ve zdravotnictví</t>
  </si>
  <si>
    <t>Soc. pomoc přistěhovalcům a vybr. etnikům</t>
  </si>
  <si>
    <t>Bezpečnost a veřejný pořádek</t>
  </si>
  <si>
    <t>Hudební činnost</t>
  </si>
  <si>
    <t>Činnosti knihovnické</t>
  </si>
  <si>
    <t>Činnosti muzeí a galerií</t>
  </si>
  <si>
    <t>Výstavní činnosti v kultuře</t>
  </si>
  <si>
    <t>Ost. zařízení související s výchovou a vzd. mládeže</t>
  </si>
  <si>
    <t>Využití volného času dětí a mládeže</t>
  </si>
  <si>
    <t>Předškolní zařízení</t>
  </si>
  <si>
    <t>Finanční vypořádání minulých let</t>
  </si>
  <si>
    <t>Odbor památkové péče</t>
  </si>
  <si>
    <t>7500 Celkem</t>
  </si>
  <si>
    <t>Seskup.</t>
  </si>
  <si>
    <t>Pol.</t>
  </si>
  <si>
    <t>Název položky</t>
  </si>
  <si>
    <t xml:space="preserve"> % S/SR</t>
  </si>
  <si>
    <t xml:space="preserve"> % S/UR</t>
  </si>
  <si>
    <t>Daň z příjmů fyz. osob ze  závislé činnosti</t>
  </si>
  <si>
    <t>Daň z příjmů fyz. osob z kapitálových výnosů</t>
  </si>
  <si>
    <t>111 Daně z příjmů fyzických osob</t>
  </si>
  <si>
    <t>Daň z příjmů právnických osob</t>
  </si>
  <si>
    <t>Daň z příjmů právnických osob za obce</t>
  </si>
  <si>
    <t>112 Daně z příjmů právnických osob</t>
  </si>
  <si>
    <t xml:space="preserve">Daň z přidané hodnoty </t>
  </si>
  <si>
    <t>121 Obecné vnitřní daně ze zboží a služeb</t>
  </si>
  <si>
    <t>Odvody za odnětí půdy ze ZPF</t>
  </si>
  <si>
    <t>Poplatky za odnětí pozemků plnění funkcí lesa</t>
  </si>
  <si>
    <t>133 Poplatky za znečišťování ŽP a využívání přírodních zdrojů</t>
  </si>
  <si>
    <t>Poplatek za povolení k vjezdu</t>
  </si>
  <si>
    <t>Správní poplatky</t>
  </si>
  <si>
    <t>136 Správní poplatky</t>
  </si>
  <si>
    <t>151 Daně z majetku</t>
  </si>
  <si>
    <t>Daňové příjmy města celkem</t>
  </si>
  <si>
    <t>Název §</t>
  </si>
  <si>
    <t>Příjmy z vlastní činnosti</t>
  </si>
  <si>
    <t>Příjmy z poskytování služeb a výrobků</t>
  </si>
  <si>
    <t>Komunální služby a územní rozvoj</t>
  </si>
  <si>
    <t>Využívání a zneškodňování  komunálních odpadů</t>
  </si>
  <si>
    <t>211 Příjmy z vlastní činnosti celkem</t>
  </si>
  <si>
    <t>Odvody přebytků organizací s přímým vztahem</t>
  </si>
  <si>
    <t>Odvody příspěvkových organizací</t>
  </si>
  <si>
    <t>212 Odvody přebytků organizací s přímým vztahem celkem</t>
  </si>
  <si>
    <t>Příjmy z pronájmu majetku</t>
  </si>
  <si>
    <t>Příjmy z pronájmu pozemků</t>
  </si>
  <si>
    <t>Pěstební činnost</t>
  </si>
  <si>
    <t>213 Příjmy z pronájmu majetku celkem</t>
  </si>
  <si>
    <t xml:space="preserve">Příjmy z úroků </t>
  </si>
  <si>
    <t>Programy rozvoje bydlení a byt. hosp. j.n.</t>
  </si>
  <si>
    <t>Obecné příjmy a výdaje z finančních operací</t>
  </si>
  <si>
    <t>Přijaté sankční platby</t>
  </si>
  <si>
    <t>Ostatní záležitosti vodního hospodářství</t>
  </si>
  <si>
    <t>221 Přijaté sankční platby celkem</t>
  </si>
  <si>
    <t>Přijaté vratky transferů a ostatní příjmy z FV</t>
  </si>
  <si>
    <t>Ostatní přijaté vratky transferů</t>
  </si>
  <si>
    <t>222 Přijaté vratky transferů a ostatní příjmy z FV celkem</t>
  </si>
  <si>
    <t>Příjmy z prodeje krátkodobého majetku</t>
  </si>
  <si>
    <t>Ostatní nedaňové příjmy</t>
  </si>
  <si>
    <t>Přijaté neinvestiční dary</t>
  </si>
  <si>
    <t>Přijaté nekapitálové příspěvky a náhrady</t>
  </si>
  <si>
    <t>Neidentifikované příjmy</t>
  </si>
  <si>
    <t>Podpora ostatních produkčních činnosti</t>
  </si>
  <si>
    <t>Ostatní nedaňové příjmy j. n.</t>
  </si>
  <si>
    <t>Příjmy z úhrad dobývacího prostoru a vydob. nerostů</t>
  </si>
  <si>
    <t>232 a 234 Ostatní nedaňové příjmy celkem</t>
  </si>
  <si>
    <t>Splátky půjčených prostředků od obyvatelstva</t>
  </si>
  <si>
    <t>246 Splátky půjčených prostředků od obyvatelstva celkem</t>
  </si>
  <si>
    <t>Nedaňové příjmy města celkem</t>
  </si>
  <si>
    <t>Příjmy z prodeje pozemků</t>
  </si>
  <si>
    <t>Příjmy z prodeje ost. nemovitostí a jejich částí</t>
  </si>
  <si>
    <t>Příjmy z prodeje ostatního hm. dlouhod. majetku</t>
  </si>
  <si>
    <t>311 Příjmy z prodeje dlouhodobého majetku celkem</t>
  </si>
  <si>
    <t>Kapitálové příjmy města celkem</t>
  </si>
  <si>
    <t>Převody z vlastních fondů hospodářské činnosti</t>
  </si>
  <si>
    <t>Škol. stravování při předškolním a zákl. vzdělávání</t>
  </si>
  <si>
    <t>241 Splátky půjč. prostředků od podnikatelských subjektů celkem</t>
  </si>
  <si>
    <t>Územní rozvoj</t>
  </si>
  <si>
    <t>Příjmy z prodeje dlouhodobého majetku</t>
  </si>
  <si>
    <t>Pořizování, zachování a obnova kult. hodnot</t>
  </si>
  <si>
    <t>Ozdrav. hosp. zvířat, plodin a zvl. veterinár. péče</t>
  </si>
  <si>
    <t>6200</t>
  </si>
  <si>
    <t>Převody z ostatních vlastních fondů</t>
  </si>
  <si>
    <t>134 Místní poplatky z vybíraných činností a služeb</t>
  </si>
  <si>
    <t>Osobní asistence, pečovatelská služba</t>
  </si>
  <si>
    <t>Domovy</t>
  </si>
  <si>
    <t>Příjmy za zkoušky OZ od žadatelů o řid. oprávnění</t>
  </si>
  <si>
    <t>135 Ostatní odvody z vybraných činností a služeb</t>
  </si>
  <si>
    <t>41 Neinvestiční přijaté transfery</t>
  </si>
  <si>
    <t>42 Investiční přijaté transfery</t>
  </si>
  <si>
    <t>Transfery přijaté městem celkem</t>
  </si>
  <si>
    <t>Neinv. přij. transfery v rámci souhrn. dot. vztahu</t>
  </si>
  <si>
    <t>Ostatní neinvestiční transfery přijaté ze SR</t>
  </si>
  <si>
    <t>Neinvestiční přijaté transfery od obcí</t>
  </si>
  <si>
    <t>Neinvestiční přijaté transfery od krajů</t>
  </si>
  <si>
    <t>Splátky půjčených prostředků od podnikatelských subjektů</t>
  </si>
  <si>
    <t>Cestovní ruch</t>
  </si>
  <si>
    <t>Ost. služby a činnosti v oblasti sociální prevence</t>
  </si>
  <si>
    <t>Odbor zdraví</t>
  </si>
  <si>
    <t>Ostatní služby a činnosti v oblasti sociální péče</t>
  </si>
  <si>
    <t>1700 Celkem</t>
  </si>
  <si>
    <t>4200 Celkem</t>
  </si>
  <si>
    <t>4100 Celkem</t>
  </si>
  <si>
    <t>4300 Celkem</t>
  </si>
  <si>
    <t xml:space="preserve">Ost. záležitosti bezpečnosti a veřejného pořádku </t>
  </si>
  <si>
    <t>Přijaté pojistné náhrady</t>
  </si>
  <si>
    <t>6600</t>
  </si>
  <si>
    <t>3900 Celkem</t>
  </si>
  <si>
    <t>Majetkový odbor</t>
  </si>
  <si>
    <t>6300 Celkem</t>
  </si>
  <si>
    <t>Odvádění a čištění o odpadních vod j. n.</t>
  </si>
  <si>
    <t>Sportovní zařízení v majetku obce</t>
  </si>
  <si>
    <t>Ostatní nemocnice</t>
  </si>
  <si>
    <t>Ostatní odvody z vybraných činností a služeb</t>
  </si>
  <si>
    <t>Příjmy z pronájmu ost. nemovitostí a jejich částí</t>
  </si>
  <si>
    <t>Splátky půjčených prostředků od přísp. organizací</t>
  </si>
  <si>
    <t>Splátky půjčených prostředků od zřízených a podobných subjektů</t>
  </si>
  <si>
    <t>245 Splátky půjč. prostředků od zřízených apod. subjektů celkem</t>
  </si>
  <si>
    <t>Prevence před drogami, alkoholem, nikotinem</t>
  </si>
  <si>
    <t>Ostatní záležitosti v silniční dopravě</t>
  </si>
  <si>
    <t>Sankční platby, přijaté od jiných subjektů</t>
  </si>
  <si>
    <t>Bytový odbor</t>
  </si>
  <si>
    <t>Sociální pomoc osobám v hmotné nouzi</t>
  </si>
  <si>
    <t>Odbor správy majetku</t>
  </si>
  <si>
    <t>Splátky půjček od podn. subjektů - právnických osob</t>
  </si>
  <si>
    <t>Příjmy z prodeje krátkodobého a drobného dlouhodobého majetku</t>
  </si>
  <si>
    <t>Ost. poplatky a odvody v oblasti životního prostředí</t>
  </si>
  <si>
    <t>Výnosy z finančního majetku</t>
  </si>
  <si>
    <t>214 Výnosy z finančního majetku celkem</t>
  </si>
  <si>
    <t>231 Příjmy z prodeje krátk. a drobného dlouh. majetku celkem</t>
  </si>
  <si>
    <t>Požární ochrana - profesionální část</t>
  </si>
  <si>
    <t>Poplatek za provoz systému - komunální odpad</t>
  </si>
  <si>
    <t>Ochrana obyvatelstva</t>
  </si>
  <si>
    <t>Ostatní správa v oblasti krizového řízení</t>
  </si>
  <si>
    <t>ORJ</t>
  </si>
  <si>
    <t>Investiční přijaté transfery od regionálních rad</t>
  </si>
  <si>
    <t>Odvod z výherních hracích přístrojů</t>
  </si>
  <si>
    <t>Odvod z loterií apod. her kromě z výh. hracích přístrojů</t>
  </si>
  <si>
    <t>Využívání a zneškodňování komunálních odpadů</t>
  </si>
  <si>
    <t>Mezinárodní spolupráce</t>
  </si>
  <si>
    <t>Ostatní výzkum a vývoj</t>
  </si>
  <si>
    <t xml:space="preserve">Ozdravování hospodářských zvířat a plodin </t>
  </si>
  <si>
    <t>Záležitosti vodních toků a vodohosp. děl</t>
  </si>
  <si>
    <t>Ostatní činnosti související se službami pro obyv.</t>
  </si>
  <si>
    <t>Investiční přijaté transfery ze státních fondů</t>
  </si>
  <si>
    <t>Obecné příjmy a výdaje z fin. operací</t>
  </si>
  <si>
    <t>Ost. správa v oblasti hosp. opatření pro krizové stavy</t>
  </si>
  <si>
    <t>Úpravy vodohosp. význ. a vodárenských toků</t>
  </si>
  <si>
    <t>Domovy pro seniory</t>
  </si>
  <si>
    <t>Domovy pro osoby se zdr. postižením a domovy se zvl. režimem</t>
  </si>
  <si>
    <t>Azylové domy, nízkoprah. denní centra a noclehárny</t>
  </si>
  <si>
    <t>První stupeň základních škol</t>
  </si>
  <si>
    <t>Domovy pro os. se zdrav. postižením a zvl. režimem</t>
  </si>
  <si>
    <t>Ost. záležitosti předšk výchovy a zákl. vzdělávání</t>
  </si>
  <si>
    <t>Daň z nemovitých věcí</t>
  </si>
  <si>
    <t>Odborné sociální poradentství</t>
  </si>
  <si>
    <t>Sociální rehabilitace</t>
  </si>
  <si>
    <t>Průvodcovské a předčitatelské služby</t>
  </si>
  <si>
    <t>Chráněné bydlení</t>
  </si>
  <si>
    <t xml:space="preserve">Denní stacionáře a centra denních služeb  </t>
  </si>
  <si>
    <t xml:space="preserve">Raná péče a soc. aktivizační služby pro rodiny </t>
  </si>
  <si>
    <t xml:space="preserve">Krizová pomoc   </t>
  </si>
  <si>
    <t>Nízkoprahová zařízení pro děti a mládež</t>
  </si>
  <si>
    <t>Služby následné péče, terapeutické komunity</t>
  </si>
  <si>
    <t>Terénní programy</t>
  </si>
  <si>
    <t>Ostatní záležitosti soc.věcí a politiky zaměstnanosti</t>
  </si>
  <si>
    <t>DPH - reverse charge</t>
  </si>
  <si>
    <t>8887 Celkem</t>
  </si>
  <si>
    <t>Neinvestiční přijaté transfery ze státních fondů</t>
  </si>
  <si>
    <t>Neinv. přijaté transfery od mezinárodních institucí</t>
  </si>
  <si>
    <t>Převody vl. fondům v rozpočtech úz. úrovně</t>
  </si>
  <si>
    <t>Převody mezi statutárními městy a jejich MČ</t>
  </si>
  <si>
    <t>Požární ochrana - dobrovolná část</t>
  </si>
  <si>
    <t>6700 Celkem</t>
  </si>
  <si>
    <t>Ostatní rozvoj bydlení a bytového hospodářství</t>
  </si>
  <si>
    <t>Ostatní správa v ochraně životního prostředí</t>
  </si>
  <si>
    <t>Ostatní záležitosti těžebního průmyslu a energetiky</t>
  </si>
  <si>
    <t>Kancelář strategie města</t>
  </si>
  <si>
    <t>1600 Celkem</t>
  </si>
  <si>
    <t>Převody vlastním fondům v rozpočtech úz. úrovně</t>
  </si>
  <si>
    <t>Filmová tvorba, distribuce, kina</t>
  </si>
  <si>
    <t>Sociálně terapeutické dílny</t>
  </si>
  <si>
    <t>Vydavatelská činnost</t>
  </si>
  <si>
    <t>Běžné výdaje města celkem</t>
  </si>
  <si>
    <t>Daň z příjmů fyz. osob ze samostatné výděl. činnosti</t>
  </si>
  <si>
    <t>Neinvestiční přijaté transfery od regionálních rad</t>
  </si>
  <si>
    <t>Odbor implementace evropských fondů</t>
  </si>
  <si>
    <t>5900 Celkem</t>
  </si>
  <si>
    <t>Týdenní stacionáře</t>
  </si>
  <si>
    <t>Ost. záležitosti ochrany památek a péče o kult. dědictví</t>
  </si>
  <si>
    <t>1700</t>
  </si>
  <si>
    <t>Příjmy z podílů na zisku a dividend</t>
  </si>
  <si>
    <t>Úspora energie a obnovitelné zdroje</t>
  </si>
  <si>
    <t>Pořizování, zachování a obnova kulturních hodnot</t>
  </si>
  <si>
    <t>SR 2016</t>
  </si>
  <si>
    <t>Odvádění a čištění odpadních vod</t>
  </si>
  <si>
    <t>Tísňová péče</t>
  </si>
  <si>
    <t>Provoz civilní letecké dopravy</t>
  </si>
  <si>
    <t>Činnost orgánů kriz. řízení na úz. úrovni a dalších správ. úřadů v oblasti kriz. řízení</t>
  </si>
  <si>
    <t>Ostatní záležitosti vzdělávání</t>
  </si>
  <si>
    <t>Ost. investiční transfery přijaté ze státního rozpočtu</t>
  </si>
  <si>
    <t>Celospolečenské funkce lesů</t>
  </si>
  <si>
    <t>Ostatní záležitosti základního vzdělávání</t>
  </si>
  <si>
    <t>Místní referendum</t>
  </si>
  <si>
    <t>Ostatní činnosti k ochraně ovzduší</t>
  </si>
  <si>
    <t>Ostatní záležitosti lesního hospodářství</t>
  </si>
  <si>
    <t>Ostatní činnosti</t>
  </si>
  <si>
    <t>Zařízení pro děti vyžadující okamžitou pomoc</t>
  </si>
  <si>
    <t>Ostatní péče a pomoc ostatním skupinám obyv.</t>
  </si>
  <si>
    <t>Příjmy z FV minulých let mezi krajem a obcemi</t>
  </si>
  <si>
    <t>Neinv. přij. transfery z VPS státního rozpočtu</t>
  </si>
  <si>
    <t>Mezinárodní spolupráce v kultuře, církvích</t>
  </si>
  <si>
    <t>Kursové rozdíly v příjmech</t>
  </si>
  <si>
    <t>UR k 31.12.2016</t>
  </si>
  <si>
    <t>Skut. k 31.12.2016</t>
  </si>
  <si>
    <t>Sk k 31.12.2016</t>
  </si>
  <si>
    <t>Základní umělecké školy</t>
  </si>
  <si>
    <t>Zájmová činnost v kultuře</t>
  </si>
  <si>
    <t>Volby do zastupitelstev ÚSC</t>
  </si>
  <si>
    <t>Domy na půl cesty</t>
  </si>
  <si>
    <t>pod 70% (nad 2 mil.)</t>
  </si>
  <si>
    <t>Položka</t>
  </si>
  <si>
    <t>Skupina</t>
  </si>
  <si>
    <t>UR 2016</t>
  </si>
  <si>
    <t>SK K 31.12.</t>
  </si>
  <si>
    <t>SK-UR</t>
  </si>
  <si>
    <t>SK/UR</t>
  </si>
  <si>
    <t>5011 - Platy zaměstnanců v pracovním poměru</t>
  </si>
  <si>
    <t>50</t>
  </si>
  <si>
    <t>5019 - Ostatní platy</t>
  </si>
  <si>
    <t>5021 - Ostatní osobní výdaje</t>
  </si>
  <si>
    <t>5023 - Odměny členů zastupitelstva obcí a krajů</t>
  </si>
  <si>
    <t>5024 - Odstupné</t>
  </si>
  <si>
    <t>5031 - Povinné poj. na soc. zabezpečení a přísp. na stát. pol. zaměstnanosti</t>
  </si>
  <si>
    <t>5032 - Povinné pojistné na veřejné zdravotní pojištění</t>
  </si>
  <si>
    <t>5038 - Povinné pojistné na úrazové pojištění</t>
  </si>
  <si>
    <t>5039 - Ostatní povinné pojistné placené zaměstnavatelem</t>
  </si>
  <si>
    <t>5041 - Odměny za užití duševního vlastnictví</t>
  </si>
  <si>
    <t>5131 - Potraviny</t>
  </si>
  <si>
    <t>51</t>
  </si>
  <si>
    <t>5132 - Ochranné pomůcky</t>
  </si>
  <si>
    <t>5133 - Léky a zdravotnický materiál</t>
  </si>
  <si>
    <t>5134 - Prádlo, oděv a obuv</t>
  </si>
  <si>
    <t>5136 - Knihy, učební pomůcky a tisk</t>
  </si>
  <si>
    <t>5137 - Drobný hmotný dlouhodobý majetek</t>
  </si>
  <si>
    <t>5139 - Nákup materiálu jende nezařazený</t>
  </si>
  <si>
    <t>5141 - Úroky vlastní</t>
  </si>
  <si>
    <t>5142 - Kursové rozdíly ve výdajích</t>
  </si>
  <si>
    <t>5147 - Úrokové výdaje na finanční deriváty</t>
  </si>
  <si>
    <t>5151 - Studená voda</t>
  </si>
  <si>
    <t>5152 - Teplo</t>
  </si>
  <si>
    <t>5153 - Plyn</t>
  </si>
  <si>
    <t>5154 - Elektrická energie</t>
  </si>
  <si>
    <t>5156 - Pohonné hmoty a maziva</t>
  </si>
  <si>
    <t>5157 - Teplá voda</t>
  </si>
  <si>
    <t>5161 - Poštovní služby</t>
  </si>
  <si>
    <t>5162 - Služby telekomunikací a radiokomunikací</t>
  </si>
  <si>
    <t>5163 - Služby peněžních ústavů</t>
  </si>
  <si>
    <t>5164 - Nájemné</t>
  </si>
  <si>
    <t>5166 - Konzultační, poradenské a právní služby</t>
  </si>
  <si>
    <t>5167 - Služby školení a vzdělávání</t>
  </si>
  <si>
    <t>5168 - Zpracování dat a služby související s IT</t>
  </si>
  <si>
    <t>5169 - Nákup ostatních služeb</t>
  </si>
  <si>
    <t>5171 - Opravy a udržování</t>
  </si>
  <si>
    <t>5172 - Programové vybavení</t>
  </si>
  <si>
    <t>5173 - Cestovné (tuzemské i zahraniční)</t>
  </si>
  <si>
    <t>5175 - Pohoštění</t>
  </si>
  <si>
    <t>5176 - Účastnické poplatky na konference</t>
  </si>
  <si>
    <t>5179 - Ostatní nákupy jinde nezařazené</t>
  </si>
  <si>
    <t>5191 - Zaplacené sankce</t>
  </si>
  <si>
    <t>5192 - Poskytnuté náhrady</t>
  </si>
  <si>
    <t>5194 - Věcné dary</t>
  </si>
  <si>
    <t>5199 - Ostatní výdaje související s neinvestičními nákupy</t>
  </si>
  <si>
    <t>5212 - Neinvestiční transfery nefin. podnikatelským subj.-fyzickým osobám</t>
  </si>
  <si>
    <t>52</t>
  </si>
  <si>
    <t>5213 - Neinvestiční transfery nefin. podnikatelským subj.-práv. osobám</t>
  </si>
  <si>
    <t>5219 - Ostatní neinvestiční transfery podnikatelským subjektům</t>
  </si>
  <si>
    <t>5221 - Neinvestiční transfery obecně prospěšným společnostem</t>
  </si>
  <si>
    <t>5222 - Neinvestiční transfery spolkům</t>
  </si>
  <si>
    <t>5223 - Neinvestiční transfery církvím a nabož. společnostem</t>
  </si>
  <si>
    <t>5225 - Neinvestiční transfery společenstvím vlastníků jednotek</t>
  </si>
  <si>
    <t>5229 - Ostatní neinvestiční transfery neziskovým apod. organizacím</t>
  </si>
  <si>
    <t>53</t>
  </si>
  <si>
    <t>5319 - Ost. neinvestiční transfery jiným veřejným rozpočtům</t>
  </si>
  <si>
    <t>5323 - Neinvestiční transfery krajům</t>
  </si>
  <si>
    <t>5329 - Ost. neinvestiční transfery veřej. rozpočtům územní úrovně</t>
  </si>
  <si>
    <t>5331 - Neinvestiční příspěvky zřízeným příspěvkovým organizacím</t>
  </si>
  <si>
    <t>5332 - Neinvestiční transfery vysokým školám</t>
  </si>
  <si>
    <t>5334 - Neinvestiční transfery veřejným výzkumným institucím</t>
  </si>
  <si>
    <t>5336 - Neinvestiční transfery zřízeným příspěvkovým organizacím</t>
  </si>
  <si>
    <t>5339 - Neinvestiční transfery cizím příspěvkovým organizacím</t>
  </si>
  <si>
    <t>5341 - Převody vlastním fondům hospodářské (podnikatelské) činnosti</t>
  </si>
  <si>
    <t>5343 - Převody jiným vl. fondům a účtům nemajícím charakter veř. rozpočtů</t>
  </si>
  <si>
    <t>5347 - Převody mezi statutárními městy a jejich městskými částmi</t>
  </si>
  <si>
    <t>5361 - Nákup kolků</t>
  </si>
  <si>
    <t>5362 - Platby daní a poplatků státnímu rozpočtu</t>
  </si>
  <si>
    <t>5363 - Úhrady sankcí jiným rozpočtům</t>
  </si>
  <si>
    <t>5364 - Vratky veřejným rozpočtům ústřední úrovně transferů poskytnutých v minulých rozpočtových obdobích</t>
  </si>
  <si>
    <t>5365 - Platby daní a poplatků krajům, obcím a státním fondům</t>
  </si>
  <si>
    <t>5366 - Výdaje z fin. vypořádání min. let mezi krajem a obcemi</t>
  </si>
  <si>
    <t>5368 - Výdaje z fin. vypořádání min. let mezi regionální radou a obcemi</t>
  </si>
  <si>
    <t>5424 - Náhrady mezd v době nemoci</t>
  </si>
  <si>
    <t>54</t>
  </si>
  <si>
    <t>5429 - Ostatní náhrady placené obyvatelstvu</t>
  </si>
  <si>
    <t>5492 - Dary obyvatelstvu</t>
  </si>
  <si>
    <t>5493 - Účelové neinvestiční transfery fyzickým osobám</t>
  </si>
  <si>
    <t>5494 - Neinvestiční transfery obyvatelstvu nemající charakter daru</t>
  </si>
  <si>
    <t>5499 - Ostatní neinvestiční transfery obyvatelstvu</t>
  </si>
  <si>
    <t>5511 - Neinvestiční transfery mezinárodním organizacím</t>
  </si>
  <si>
    <t>5531 - Penežní dary do zahraničí</t>
  </si>
  <si>
    <t>5613 - Neinvestiční půjčené prostředky nefin. podnik. subjektům - práv. os.</t>
  </si>
  <si>
    <t>56</t>
  </si>
  <si>
    <t>5651 - Neinvestiční půjčené prostředky zřízeným příspěvkovým org.</t>
  </si>
  <si>
    <t>5660 - Neinvestiční půjčené prostředky obyvatelstvu</t>
  </si>
  <si>
    <t>5901 - Nespecifikované rezervy</t>
  </si>
  <si>
    <t>59</t>
  </si>
  <si>
    <t>5902 - Ostatní výdaje z finančního vypořádání minulých let</t>
  </si>
  <si>
    <t>5909 - Ostatní neinvestiční výdaje jinde nezařazené</t>
  </si>
  <si>
    <t>CELKEM</t>
  </si>
  <si>
    <t>č.ř.</t>
  </si>
  <si>
    <t>ORG</t>
  </si>
  <si>
    <t>pol.</t>
  </si>
  <si>
    <t>Zdroj</t>
  </si>
  <si>
    <t>Název akce</t>
  </si>
  <si>
    <t>Rok zahájení</t>
  </si>
  <si>
    <t>Rok dokončení</t>
  </si>
  <si>
    <t>Náklady akce/město</t>
  </si>
  <si>
    <t>z toho kryto dotací</t>
  </si>
  <si>
    <t>Skut. k 31.12.15</t>
  </si>
  <si>
    <t>Sk/UR</t>
  </si>
  <si>
    <t>SR 2017</t>
  </si>
  <si>
    <t>RV 2018</t>
  </si>
  <si>
    <t>Další roky</t>
  </si>
  <si>
    <t>Zajišťuje</t>
  </si>
  <si>
    <t>kontrola CN</t>
  </si>
  <si>
    <t>komentovat?</t>
  </si>
  <si>
    <t>ORJ - chyby v CN</t>
  </si>
  <si>
    <t>ORG - chyby v CN</t>
  </si>
  <si>
    <t>ORJ+§+ORG+Zdroj</t>
  </si>
  <si>
    <t>5600</t>
  </si>
  <si>
    <t>2143 - Cestovní ruch</t>
  </si>
  <si>
    <t>Kino Art - rek.zevního pláště budovy,výměna oken a dveří</t>
  </si>
  <si>
    <t>OI</t>
  </si>
  <si>
    <t>Celkem z 2143 - Cestovní ruch</t>
  </si>
  <si>
    <t>2212 - Silnice</t>
  </si>
  <si>
    <t>Okružní křižovatka Rebešovická-Davídkova-Roviny</t>
  </si>
  <si>
    <t>Zastávkový záliv MHD u židenických kasáren</t>
  </si>
  <si>
    <t>Parkovací dům Panenská - komunikace</t>
  </si>
  <si>
    <t>Úprava zastávek MHD Kluchova</t>
  </si>
  <si>
    <t>Rozšíření ulice Palcary včetně inženýrských sítí</t>
  </si>
  <si>
    <t>Zastávky MHD Zámecká</t>
  </si>
  <si>
    <t>Chodník Černohorská II mezi ulicí Příjezdovou a Jezerůvky</t>
  </si>
  <si>
    <t>Nová zastávka MHD, Kociánka-Hamerláky</t>
  </si>
  <si>
    <t>Autobusová smyčka Medlánky</t>
  </si>
  <si>
    <t>Propojení chodníku Dlouhá</t>
  </si>
  <si>
    <t>Rekonstrukce Údolní od Husovy po Úvoz</t>
  </si>
  <si>
    <t>Úprava zastávky Rokytova</t>
  </si>
  <si>
    <t>Rekonstrukce inženýrských sítí a komunikací v ulici Olší</t>
  </si>
  <si>
    <t>Rekonstrukce ulice Požární - V Rejích</t>
  </si>
  <si>
    <t>Rek. prodloužení ul. M. Horákové v úseku Koliště-Rooseveltova</t>
  </si>
  <si>
    <t>Rekonstrukce okružní křížovatky Charbulova-Řehořkova</t>
  </si>
  <si>
    <t>Rekonstrukce ulice Štefánikovy</t>
  </si>
  <si>
    <t>Doplnění chodníku v ulici Maříkově</t>
  </si>
  <si>
    <t>Terénní úpravy chodníku pro pěší, Zouvalka</t>
  </si>
  <si>
    <t>Terminál Bystrc</t>
  </si>
  <si>
    <t>Rozšíření komunikace Ulrychova</t>
  </si>
  <si>
    <t>S</t>
  </si>
  <si>
    <t>Terminál Starý Lískovec</t>
  </si>
  <si>
    <t>Mendlovo nám., terminál hromadné dopravy</t>
  </si>
  <si>
    <t>Parkoviště při ulici Spodní</t>
  </si>
  <si>
    <t>Rekonstrukce ulice Veveří I.</t>
  </si>
  <si>
    <t>Rekonstrukce ulice Jana Babáka</t>
  </si>
  <si>
    <t>Prodloužení tramvajové trati Bystrc-Kamechy</t>
  </si>
  <si>
    <t>Prodloužení TT z Osové ke Kampusu MU v Bohunicích</t>
  </si>
  <si>
    <t>Zřízení parkoviště na Přemyslově nám.</t>
  </si>
  <si>
    <t>Dopravní napojení lokality Komínské louky</t>
  </si>
  <si>
    <t>Chodník při ulici Černohorské</t>
  </si>
  <si>
    <t>Stavební úpravy křižovatky Kaštanová-Popelova-Vinohradská</t>
  </si>
  <si>
    <t>5400</t>
  </si>
  <si>
    <t xml:space="preserve">Rekonstrukce komunikací </t>
  </si>
  <si>
    <t>OD</t>
  </si>
  <si>
    <t>Rekonstrukce ulice Milady Horákové</t>
  </si>
  <si>
    <t>Horova - komunikace</t>
  </si>
  <si>
    <t>Minská - komunikace</t>
  </si>
  <si>
    <t>Zvýšení základního kapitálu BKOM</t>
  </si>
  <si>
    <t>Komunikační obchvat Tuřan, I. etapa</t>
  </si>
  <si>
    <t>Areál VUT v Brně CEITEC - komunikace</t>
  </si>
  <si>
    <t>Silnice I/42, VMO Žabovřeská I (CRN 2,84 mld.)</t>
  </si>
  <si>
    <t>4100</t>
  </si>
  <si>
    <t>EUROPOINT Brno - městská infrastruktura</t>
  </si>
  <si>
    <t>OÚPR</t>
  </si>
  <si>
    <t>VMO Dobrovského (CRN 7,66 mld.)</t>
  </si>
  <si>
    <t>Komplexní regenerace historického jádra</t>
  </si>
  <si>
    <t>Tramvaj Plotní - soubor staveb</t>
  </si>
  <si>
    <t>VMO Tomkovo náměstí (CRN 1,27 mld.)</t>
  </si>
  <si>
    <t>VMO Rokytova (CRN 1,54 mld.)</t>
  </si>
  <si>
    <t>Rekonstrukce Vaňkova náměstí</t>
  </si>
  <si>
    <t>Rekonstrukce komunikací Tuřany II.</t>
  </si>
  <si>
    <t>Celkem z 2212 - Silnice</t>
  </si>
  <si>
    <t>2219 - Ostatní záležitosti pozemních komunikací</t>
  </si>
  <si>
    <t>Výstavba kamerových bodů MKDS</t>
  </si>
  <si>
    <t>Cyklistická stezka Sokolova-Vomáčkova</t>
  </si>
  <si>
    <t>Rozšíření pokrytí radiokomunikačního systému TETRA v tunelech ve městě Brně</t>
  </si>
  <si>
    <t>Bike sharing systém - příprava</t>
  </si>
  <si>
    <t>Pracoviště pro výdej rezidentních dokladů MČ Brno-střed</t>
  </si>
  <si>
    <t>Dopravně informační centrum - II. etapa</t>
  </si>
  <si>
    <t>Dohledový systém BKOM</t>
  </si>
  <si>
    <t>Výkupy pozemků a objektů pro OD MMB</t>
  </si>
  <si>
    <t>Majetkoprávní vypořádání a přípr. doprav. staveb</t>
  </si>
  <si>
    <t>EU</t>
  </si>
  <si>
    <t>Zelný trh</t>
  </si>
  <si>
    <t>CIVITAS 2MOVE2</t>
  </si>
  <si>
    <t>Cykloopatření ve vybraných částech Brna, I.etapa</t>
  </si>
  <si>
    <t>Systém parkování Park &amp; Ride - 1. etapa</t>
  </si>
  <si>
    <t>Cykloopatření ve vybraných částech Brna, II. etapa</t>
  </si>
  <si>
    <t>Systém parkování Park &amp; Ride - 2. etapa</t>
  </si>
  <si>
    <t>Cyklostezka Brno-Jinačovice-Kuřim - předprojektová příprava</t>
  </si>
  <si>
    <t>Parkovací systém</t>
  </si>
  <si>
    <t>2219 - ostatní záležitosti pozemních komunikací</t>
  </si>
  <si>
    <t>DPMB - investiční dotace - rekonstrukce Minská, Horova</t>
  </si>
  <si>
    <t>Celkem z 2219 - Ostatní záležitosti pozemních komunikací</t>
  </si>
  <si>
    <t>2229 - Ostatní záležitosti v silniční dopravě</t>
  </si>
  <si>
    <t>Dopravní telematika ve městě Brně - 1. část</t>
  </si>
  <si>
    <t>Dopravní telematika ve městě Brně - 2. část</t>
  </si>
  <si>
    <t>Dopravní telematika ve městě Brně - 3. část</t>
  </si>
  <si>
    <t>Rozvoj dopr.telematiky v letech 2015 až 2020</t>
  </si>
  <si>
    <t>Řízení dopravy a sběr dopravních dat</t>
  </si>
  <si>
    <t>Celkem z 2229 - Ostatní záležitosti v silniční dopravě</t>
  </si>
  <si>
    <t>2271 - Ostatní dráhy</t>
  </si>
  <si>
    <t>Výměna výtahů v tramvajové zastávce Jírova</t>
  </si>
  <si>
    <t>Prodloužení trolejbusové trati Novolíšeňská</t>
  </si>
  <si>
    <t>Rekonstrukce trolejbusové vozovny Komín</t>
  </si>
  <si>
    <t>Celkem z 2271 - Ostatní dráhy</t>
  </si>
  <si>
    <t>2299 - Ostatní záležitosti v dopravě</t>
  </si>
  <si>
    <t>Dopravní zúčtovací centrum</t>
  </si>
  <si>
    <t>Celkem z 2299 - Ostatní záležitosti v dopravě</t>
  </si>
  <si>
    <t>2310 - Pitná voda</t>
  </si>
  <si>
    <t>Výměna vodovodních řadů v kolektoru</t>
  </si>
  <si>
    <t>BVK</t>
  </si>
  <si>
    <t>VDJ Preslova - rekonstrukce armaturní komory a technologie</t>
  </si>
  <si>
    <t>Propojovací vodovodní řad Modřice - Chrlice</t>
  </si>
  <si>
    <t>Šťastného - rekonstrukce vodovodu</t>
  </si>
  <si>
    <t>Zavřená - rekonstrukce vodovodu</t>
  </si>
  <si>
    <t>Zoubkova - rekonstrukce vodovodu</t>
  </si>
  <si>
    <t>Kosmákova - rekonstrukce vodovodu</t>
  </si>
  <si>
    <t>Šmilovského - rekonstrukce vodovodu</t>
  </si>
  <si>
    <t>VDJ Palackého vrch 2x17 500 m3 - rekonstrukce</t>
  </si>
  <si>
    <t>Dotační tituly - vodovody (příprava, výkupy pozemků)</t>
  </si>
  <si>
    <t>Bayerova II - rekonstrukce vodovodu</t>
  </si>
  <si>
    <t>Lužova - rekonstrukce vodovodu</t>
  </si>
  <si>
    <t>Andrýskova - rekonstrukce vodovodu</t>
  </si>
  <si>
    <t>Rozšíření vodojemu Lesná</t>
  </si>
  <si>
    <t>Pastrnkova - rekonstrukce vodovodu</t>
  </si>
  <si>
    <t>Solniční I, Česká II, Opletalova - rekonstrukce vodovodu</t>
  </si>
  <si>
    <t>Modřická - výstavba vodovodu DN 200</t>
  </si>
  <si>
    <t>Viniční II - rekonstrukce vodovodu</t>
  </si>
  <si>
    <t>Čerpací stanice - rekonstrukce armatur a strojů</t>
  </si>
  <si>
    <t>Provozní budova BVK ÚV Pisárky, rekonstrukce objektů</t>
  </si>
  <si>
    <t>Celkem z 2310 - Pitná voda</t>
  </si>
  <si>
    <t>2321 - Odvádění a čištění odpadních vod</t>
  </si>
  <si>
    <t>Zábrdovická I, Cejl I - rekonstrukce kanalizace a vodovodu</t>
  </si>
  <si>
    <t>Výstavba dešťové kanalizace Soběšice</t>
  </si>
  <si>
    <t>Dostavba kanalizace v Brně II.</t>
  </si>
  <si>
    <t>Čelakovského, Petrůvky, Nevrklova - rek. kanalizace a vodovodu</t>
  </si>
  <si>
    <t>Srbská - rekonstrukce kanalizace a vodovodu</t>
  </si>
  <si>
    <t>Leitnerova III - rekonstrukce kanalizace a vodovodu</t>
  </si>
  <si>
    <t>Kalvodova I - rekonstrukce kanalizace a vodovodu</t>
  </si>
  <si>
    <t>Štefánikova - rekonstrukce kanalizace a vodovodu</t>
  </si>
  <si>
    <t>Hradilova - rekonstrukce kanalizace a vodovodu</t>
  </si>
  <si>
    <t>Šumavská - rekonstrukce kanalizace a vodovodu</t>
  </si>
  <si>
    <t>Rezkova - rekonstrukce kanalizace a vodovodu</t>
  </si>
  <si>
    <t>Bratří Mrštíků - rekonstrukce kanalizace a vodovodu</t>
  </si>
  <si>
    <t>Touškova, Svatoplukova I -rekonstrukce kanalizace a vodovodu</t>
  </si>
  <si>
    <t>Hlávkova - rekonstrukce kanalizace a vodovodu</t>
  </si>
  <si>
    <t>Závodského - rekonstrukce kanalizace a vodovodu</t>
  </si>
  <si>
    <t>Solniční I, Česká II, Opletalova - rekonstrukce kanalizace</t>
  </si>
  <si>
    <t>Spojka - rekonstrukce kanalizace a vodovodu</t>
  </si>
  <si>
    <t>Tichého - rekonstrukce kanalizace a vodovodu</t>
  </si>
  <si>
    <t>Chaloupky - rekonstrukce kanalizace a vodovodu</t>
  </si>
  <si>
    <t>Rybnická - rekonstrukce kanalizace a vodovodu</t>
  </si>
  <si>
    <t>Barvičova II., Kaplanova - rekonstrukce kanalizace a vodovodu</t>
  </si>
  <si>
    <t>Gajdošova II - rekonstrukce kanalizace a vodovodu</t>
  </si>
  <si>
    <t>Bohunická I - rekonstrukce kanalizace a vodovodu</t>
  </si>
  <si>
    <t>Dotační tituly - kanalizace (příprava, výkupy pozemků)</t>
  </si>
  <si>
    <t>Lesnická I - rekonstrukce  kanalizace a vodovodu</t>
  </si>
  <si>
    <t>Viniční I B - rekonstrukce  kanalizace a vodovodu</t>
  </si>
  <si>
    <t xml:space="preserve">Pastrnkova II - rekonstrukce kanalizace </t>
  </si>
  <si>
    <t xml:space="preserve">Tylova - rekonstrukce kanalizace a vodovodu </t>
  </si>
  <si>
    <t xml:space="preserve">Křížkovského I - rekonstrukce kanalizace a vodovodu </t>
  </si>
  <si>
    <t xml:space="preserve">Blatouchová - rekonstrukce kanalizace a vodovodu </t>
  </si>
  <si>
    <t xml:space="preserve">Valchařská - rekonstrukce kanalizace a vodovodu </t>
  </si>
  <si>
    <t xml:space="preserve">Vodova - rekonstrukce kanalizace a vodovodu </t>
  </si>
  <si>
    <t xml:space="preserve">Kollárova - rekonstrukce kanalizace a vodovodu </t>
  </si>
  <si>
    <t xml:space="preserve">Studená - rekonstrukce kanalizace a vodovodu </t>
  </si>
  <si>
    <t xml:space="preserve">Grohova - rekonstrukce kanalizace a vodovodu </t>
  </si>
  <si>
    <t>Grmelova - rekonstrukce kanalizace a vodovodu</t>
  </si>
  <si>
    <t>Sobotkova - rekonstrukce kanalizace a vodovodu</t>
  </si>
  <si>
    <t xml:space="preserve">Havlenova - rekonstrukce kanalizace a vodovodu </t>
  </si>
  <si>
    <t>Tuřanka I - rekonstrukce kanalizace a vodovodu</t>
  </si>
  <si>
    <t>Musilova - rekonstrukce kanalizace a vodovodu</t>
  </si>
  <si>
    <t>Martinkova - rekonstrukce kanalizace a vodovodu</t>
  </si>
  <si>
    <t>Buzkova - rekonstrukce kanalizace a vodovodu</t>
  </si>
  <si>
    <t>Poděbradova II - rekonstrukce kanalizace a vodovod</t>
  </si>
  <si>
    <t>Pod Kaštany - rekonstrukce kanalizace a vodovodu</t>
  </si>
  <si>
    <t>Dulánek - rekonstrukce kanalizace a vodovodu</t>
  </si>
  <si>
    <t>MČ Chrlice - ul. Rebešovická, dostavba splaškové kanalizace</t>
  </si>
  <si>
    <t>Slovanské náměstí, Ruská - rek. kanalizace a vodovodu</t>
  </si>
  <si>
    <t>Davídkova, MČ Brno-Chrlice - splašková kanalizace</t>
  </si>
  <si>
    <t>Vančurova, Gajdošova I - rekonstrukce kanalizace a vodovodu</t>
  </si>
  <si>
    <t>Húskova - rekonstrukce kanalizace a vodovodu</t>
  </si>
  <si>
    <t>Gorkého I, Arne Nováka - rek. kanalizace a vodovodu</t>
  </si>
  <si>
    <t>Gallašova - rekonstrukce kanalizace a vodovodu</t>
  </si>
  <si>
    <t>Fryčajova - rekonstrukce kanalizace a vodovodu</t>
  </si>
  <si>
    <t>Drobného - rekonstrukce kanalizace a vodovodu</t>
  </si>
  <si>
    <t>Údolní I - rek. kanalizace a vodovodu (Joštova - Úvoz)</t>
  </si>
  <si>
    <t>Antonína Macka - rekonstrukce kanal. a vodovodu</t>
  </si>
  <si>
    <t>Chlupova - rekonstrukce kanalizace a vodovodu</t>
  </si>
  <si>
    <t>Luční - rekonstrukce kanalizace a vodovodu</t>
  </si>
  <si>
    <t>Jugoslávská - rek. kan. a vod. (Vranovská - Merhaut.)</t>
  </si>
  <si>
    <t>Lerchova II, Klácelova- rekon.kanal. a vodovodu</t>
  </si>
  <si>
    <t>Viniční II- rek.kanal. (úsek Hrabalova-Škrochova)</t>
  </si>
  <si>
    <t>Koliště- rekonstrukce kanalizace a vodovodu</t>
  </si>
  <si>
    <t>Francouzská-rekonstrukce kanalizace a vodovodu</t>
  </si>
  <si>
    <t>Erbenova-rekonstrukce kanalizace a vodovodu</t>
  </si>
  <si>
    <t>Dvorského, Polní II -rekonstrukce kanal. a vod.</t>
  </si>
  <si>
    <t>Cupákova-rekonstrukce kanalizace a vodovodu</t>
  </si>
  <si>
    <t>Brandlova, Žerotínovo nám. I, Moravské nám. I - rek. kan. a vod.</t>
  </si>
  <si>
    <t>Lerchova I,Roubalova I, Kampelíkova I - rek.kan. a vod.</t>
  </si>
  <si>
    <t>Staňkova I, Skřivanova II - rek. kan. a vod.</t>
  </si>
  <si>
    <t>Krkoškova, Zátiší, Fügnerova I - rek. kanalizace a vod.</t>
  </si>
  <si>
    <t>Chodská - rekonstrukce kanalizace a vodovodu</t>
  </si>
  <si>
    <t>Benešova - rekonstrukce kanalizace a vodovodu</t>
  </si>
  <si>
    <t>Vackova - rekonstrukce kanalizace a vodovodu</t>
  </si>
  <si>
    <t>Šafaříkova - rekonstrukce kanalizace</t>
  </si>
  <si>
    <t>Lužánecká - rekonstrukce kanalizace a vodovodu</t>
  </si>
  <si>
    <t>Králova - rekonstrukce kanalizace</t>
  </si>
  <si>
    <t>Monitoring a měření na odleh. komorách kanal. sítě</t>
  </si>
  <si>
    <t>Bráfova I - rekonstrukce kanalizace</t>
  </si>
  <si>
    <t>Horova - rekonstrukce kanalizace a vodovodu</t>
  </si>
  <si>
    <t>Veveří - rek. kanal. a vodov. (Žerot. nám. - Koneč. nám.)</t>
  </si>
  <si>
    <t>Drobné rekonstrukce na kanal. a vodovod.</t>
  </si>
  <si>
    <t>Světlá, Dolnopolní I. - rek. kanalizace a vodovodu</t>
  </si>
  <si>
    <t>Kovácká - rek. kanalizace</t>
  </si>
  <si>
    <t>Cornovova - rek. kanalizace a vodovodu</t>
  </si>
  <si>
    <t xml:space="preserve">Rekonstrukce a dostavba kanalizace v Brně </t>
  </si>
  <si>
    <t>Rekonstrukce a dostavba kanalizace v Brně</t>
  </si>
  <si>
    <t xml:space="preserve">Dostavba KS E I - úsek Hájecká, Nezamyslova </t>
  </si>
  <si>
    <t>Rekonstrukce objektů - havarijní stav</t>
  </si>
  <si>
    <t>Tramvaj Plotní (vodohospodářské objekty)</t>
  </si>
  <si>
    <t>Stránského, Haasova - rekonstrukce kanalizace</t>
  </si>
  <si>
    <t>Filipínského II, Bubeníčkova II, - rek. kanal. a vodov. (Bub. - Klíny)</t>
  </si>
  <si>
    <t>Minská - rekonstrukce kanalizace a vodovodu</t>
  </si>
  <si>
    <t>Údolní II - rek. kanal. a vodovodu</t>
  </si>
  <si>
    <t>Okružní  - rekonstrukce kanalizace II.</t>
  </si>
  <si>
    <t>Celkem z 2321 - Odvádění a čištění odpadních vod</t>
  </si>
  <si>
    <t>2329 - Odvádění a čistění odpadních vod j.n.</t>
  </si>
  <si>
    <t>Majetkoprávní vypořádání - technické zhodnocení staveb</t>
  </si>
  <si>
    <t>Majetkoprávní vypoř. a přípr. vodohosp. staveb</t>
  </si>
  <si>
    <t xml:space="preserve">Majetkoprávní vypořádání a příprava staveb </t>
  </si>
  <si>
    <t>Nákup inženýrských sítí do majetku MB</t>
  </si>
  <si>
    <t>Nezdrojová DPH</t>
  </si>
  <si>
    <t>Příprava staveb, geom. plány a výkupy pozemků</t>
  </si>
  <si>
    <t>Celkem z 2329 - Odvádění a čistění odpadních vod j.n.</t>
  </si>
  <si>
    <t>2333 - Úpravy drobných vodních toků</t>
  </si>
  <si>
    <t>Retenční nádrž na Medláneckém potoce</t>
  </si>
  <si>
    <t>Celkem z 2333 - Úpravy drobných vodních toků</t>
  </si>
  <si>
    <t>2339 - Záležitosti vodních toků a vodohospodářských děl j.n.</t>
  </si>
  <si>
    <t>Sanace odvodňovacích vrtů Brno-Bystrc, 2.etapa</t>
  </si>
  <si>
    <t>Celkem z 2339 - Záležitosti vodních toků a vodohospodářských děl j.n.</t>
  </si>
  <si>
    <t>3111 - Předškolní zařízení</t>
  </si>
  <si>
    <t>Zateplení MŠ Hněvkovského</t>
  </si>
  <si>
    <t>Stavební úpravy mateřské školy Řezáčova</t>
  </si>
  <si>
    <t>MŠ Kohoutova 6 - zateplení budovy a výměna oken</t>
  </si>
  <si>
    <t>MŠ Tišnovská - zateplení budovy včetně výměny oken</t>
  </si>
  <si>
    <t>MŠ Šrámkova - zateplení budovy včetně výměny oken</t>
  </si>
  <si>
    <t>3111 - předškolní zařízení</t>
  </si>
  <si>
    <t>MŠ Kamechy II - výstavba šestitřídní MŠ</t>
  </si>
  <si>
    <t>Mateřská škola Přemyslovo náměstí 1 - 2. etapa</t>
  </si>
  <si>
    <t>Mateřská škola Žabka, objekt Kohoutovická, Brno-Žebětín</t>
  </si>
  <si>
    <t>Mateřská škola Pastviny 70 - rozšíření</t>
  </si>
  <si>
    <t>Stavební úpravy MŠ Nejedlého</t>
  </si>
  <si>
    <t>Stavební úpravy MŠ Černopolní</t>
  </si>
  <si>
    <t>Celkem z 3111 - Předškolní zařízení</t>
  </si>
  <si>
    <t>3113 - Základní školy</t>
  </si>
  <si>
    <t>ZŠ Bosonožské nám. - pohybové prostory</t>
  </si>
  <si>
    <t>Stavební úpravy ZŠ Mutěnická - 3. etapa</t>
  </si>
  <si>
    <t>Zateplení ZŠ Úvoz</t>
  </si>
  <si>
    <t>5900</t>
  </si>
  <si>
    <t>OIEF</t>
  </si>
  <si>
    <t>Zateplení ZŠ Svážná</t>
  </si>
  <si>
    <t>Revitalizace sportovních ploch při MŠ a ZŠ v MČ Brno-Židenice</t>
  </si>
  <si>
    <t>ZŠ Vranovská - rekonstrukce hřiště</t>
  </si>
  <si>
    <t>Stavební úpravy ZŠ a MŠ JANA BROSKVY 388/3 a 139/1</t>
  </si>
  <si>
    <t>Školní víceúčelové hřiště při ZŠ Otevřená</t>
  </si>
  <si>
    <t>Rekonstrukce víceúčelového hřiště v areálu ZŠ Arménská 21</t>
  </si>
  <si>
    <t>Zateplení ZŠ Laštůvkova</t>
  </si>
  <si>
    <t>Stavební úpravy ZŠ Štolcova</t>
  </si>
  <si>
    <t>OSM</t>
  </si>
  <si>
    <t>Celkem z 3113 - Základní školy</t>
  </si>
  <si>
    <t>6700</t>
  </si>
  <si>
    <t>3119 - Ost. záležitosti předškolní výchovy a zákl. vzdělávání</t>
  </si>
  <si>
    <t>Rekonstrukce školských zařízení</t>
  </si>
  <si>
    <t>OŠMT</t>
  </si>
  <si>
    <t>Celkem z 3119 - Ost. záležitosti předškolní výchovy a zákl. vzdělávání</t>
  </si>
  <si>
    <t>3231 - Základní umělecké školy</t>
  </si>
  <si>
    <t>Stavební úpravy ZUŠ Amerlingova</t>
  </si>
  <si>
    <t>Celkem z 3231 - Základní umělecké školy</t>
  </si>
  <si>
    <t>3311 - Divadelní činnost</t>
  </si>
  <si>
    <t>Reduta - sanace sklepního výduchu</t>
  </si>
  <si>
    <t>Vnější fasáda a rekonstrukce střešního pláště - Lidická 14</t>
  </si>
  <si>
    <t>Celková rekonstrukce objektu Rooseveltova 13</t>
  </si>
  <si>
    <t>Stavební úpravy fasády a technologií Janáčkova divadla</t>
  </si>
  <si>
    <t>Městské divadlo Brno - přístavba dílen a skladů</t>
  </si>
  <si>
    <t>MDB</t>
  </si>
  <si>
    <t>Rek. a dobudování Janáčkova divadla</t>
  </si>
  <si>
    <t>2018</t>
  </si>
  <si>
    <t>7300</t>
  </si>
  <si>
    <t>Transfer na investice Národní divadlo Brno</t>
  </si>
  <si>
    <t>NDB</t>
  </si>
  <si>
    <t>Transfer na investice Centrum experimentálního divadla</t>
  </si>
  <si>
    <t>CED</t>
  </si>
  <si>
    <t>Transfer na investice Městské divadlo</t>
  </si>
  <si>
    <t>Celkem z 3311 - Divadelní činnost</t>
  </si>
  <si>
    <t>3312 - Hudební činnost</t>
  </si>
  <si>
    <t>Janáčkovo kulturní centrum</t>
  </si>
  <si>
    <t>OI, FB</t>
  </si>
  <si>
    <t>Transfer na investice Filharmonie Brno</t>
  </si>
  <si>
    <t>FB</t>
  </si>
  <si>
    <t>Celkem z 3312 - Hudební činnost</t>
  </si>
  <si>
    <t>3314 - Činnosti knihovnické</t>
  </si>
  <si>
    <t>Rekonstrukce pobočky KJM Vondrákova 15, Brno-Bystrc - proj. příprava</t>
  </si>
  <si>
    <t>Knihovna pro město II. - vzdělávání na míru</t>
  </si>
  <si>
    <t>OIEF/KJM</t>
  </si>
  <si>
    <t>Celkem z 3314 - Činnosti knihovnické</t>
  </si>
  <si>
    <t>3315 - Činnosti muzeí a galerií</t>
  </si>
  <si>
    <t>Transfer na investice Muzeum města Brna</t>
  </si>
  <si>
    <t>MuMB</t>
  </si>
  <si>
    <t>Celkem z 3315 - Činnosti muzeí a galerií</t>
  </si>
  <si>
    <t>3317 - Výstavní činnosti v kultuře</t>
  </si>
  <si>
    <t>Úprava Domu pánů z Kunštátu</t>
  </si>
  <si>
    <t>Celkem z 3317 - Výstavní činnosti v kultuře</t>
  </si>
  <si>
    <t>3319 - Ostatní záležitosti kultury</t>
  </si>
  <si>
    <t>Investiční tranfer HaP</t>
  </si>
  <si>
    <t>HaP</t>
  </si>
  <si>
    <t>Celkem z 3319 - Ostatní záležitosti kultury</t>
  </si>
  <si>
    <t>3322 - Zachování a obnova kulturních památek</t>
  </si>
  <si>
    <t>NKP Špilberk - statické zajištění hradebních plent a mostu</t>
  </si>
  <si>
    <t>Rekonstrukce NKP Špilberk, II.etapa</t>
  </si>
  <si>
    <t>NKP Špilberk - lapidárium a centrum restaurátorských činností</t>
  </si>
  <si>
    <t>Vybudování lapidária a odborného zázemí hradu Špilberk</t>
  </si>
  <si>
    <t>Celkem z 3322 - Zachování a obnova kulturních památek</t>
  </si>
  <si>
    <t xml:space="preserve">3326 - Pořízení, zachování a obnova hodnot místního kulturního, národního a hist. povědomí </t>
  </si>
  <si>
    <t>Sochy pro Brno</t>
  </si>
  <si>
    <t>OK</t>
  </si>
  <si>
    <t>Nestavební investice OK</t>
  </si>
  <si>
    <t>Transfer na investice OK</t>
  </si>
  <si>
    <t xml:space="preserve">Celkem z 3326 - Pořízení, zachování a obnova hodnot místního kulturního, národního a hist. povědomí </t>
  </si>
  <si>
    <t>3392 - Zájmová činnost v kultuře</t>
  </si>
  <si>
    <t>Stavební úpravy společenského centra Bystrc</t>
  </si>
  <si>
    <t>Celkem z 3392 - Zájmová činnost v kultuře</t>
  </si>
  <si>
    <t>3412 - Sportovní zařízení v majetku obce</t>
  </si>
  <si>
    <t>Novostavba tělocvičny v MČ Brno-Tuřany</t>
  </si>
  <si>
    <t>Celkem z 3412 - Sportovní zařízení v majetku obce</t>
  </si>
  <si>
    <t>3419 - Ostatní tělovýchovná činnost</t>
  </si>
  <si>
    <t>Vybudování trafostanice pro sportovní areál na ul. Vodová 108 v Brně</t>
  </si>
  <si>
    <t>Atletická hala Campus - příprava</t>
  </si>
  <si>
    <t>Rekonstrukce výměníkové stanice na horkou vodu, VZT a ohřevu bazénové vody - Městský plavecký stadion Lužánky</t>
  </si>
  <si>
    <t>Sportovní areál Antrophos - příprava</t>
  </si>
  <si>
    <t>Investiční dotace STAREZ-SPORT, a.s. - rekonstrukce bazénu v areálu Riviéra</t>
  </si>
  <si>
    <t>STAREZ</t>
  </si>
  <si>
    <t>Projektová příprava - sportovní infrastruktura</t>
  </si>
  <si>
    <t>Zastřešení západní tribuny fot. stadionu při ulici Srbská</t>
  </si>
  <si>
    <t>Modernizace fotbal. stadionu za Lužánkami</t>
  </si>
  <si>
    <t>Investiční transfery OŠMT</t>
  </si>
  <si>
    <t>Investiční transfery OŠMT - rezerva</t>
  </si>
  <si>
    <t>Celkem z 3419 - Ostatní tělovýchovná činnost</t>
  </si>
  <si>
    <t>3421 - Využití volného času dětí a mládeže</t>
  </si>
  <si>
    <t>Rekonstrukce sportovišť v MČ Brno-střed</t>
  </si>
  <si>
    <t>Regenerace sportovišť Vsetínská, Trýbova, Čechyňská</t>
  </si>
  <si>
    <t>Regenerace veř. prostranství pro volnočas. aktivity nekomerčního charakteru MČ Brno-sever</t>
  </si>
  <si>
    <t>Zateplení fasády objektu SVČ a KJM Lány 3 v MČ Brno-Bohunice</t>
  </si>
  <si>
    <t>Regenerace veřejných prostranství pro volnočasové aktivity a revitalizace volně přístupných sportovišť v MČ Brno-Jundrov</t>
  </si>
  <si>
    <t>Regenerace sportovišť v lokalitách Rybářská, Botanická a transformace sportoviště Vysoká na parkour</t>
  </si>
  <si>
    <t>Zateplení SVČ Kosmonautů</t>
  </si>
  <si>
    <t>Celkem z 3421 - Využití volného času dětí a mládeže</t>
  </si>
  <si>
    <t>3429 - Ostatní zájmová činnost a rekreace</t>
  </si>
  <si>
    <t>Zvýšení atraktivity Brněnské přehrady</t>
  </si>
  <si>
    <t>Sportovně-rekreační plocha Kartouzská</t>
  </si>
  <si>
    <t>Celkem z 3429 - Ostatní zájmová činnost a rekreace</t>
  </si>
  <si>
    <t>3511 - Všeobecná ambulatní péče</t>
  </si>
  <si>
    <t>Rekonstrukce polikliniky Zahradníkova</t>
  </si>
  <si>
    <t>Stavební úpravy polikliniky Lesná</t>
  </si>
  <si>
    <t>Celkem z 3511 - Všeobecná ambulatní péče</t>
  </si>
  <si>
    <t>3522 - Ostatní nemocnice</t>
  </si>
  <si>
    <t>Rekonstrukce v objektech NMB</t>
  </si>
  <si>
    <t>NMB</t>
  </si>
  <si>
    <t>7100</t>
  </si>
  <si>
    <t>Transfer na investice Nemocnice Milosrdných bratří</t>
  </si>
  <si>
    <t>Transfer na investice ÚN v Brně</t>
  </si>
  <si>
    <t>ÚNB</t>
  </si>
  <si>
    <t>Celkem z 3522 - Ostatní nemocnice</t>
  </si>
  <si>
    <t>3599 - Ostatní činnost ve zdravotnictví</t>
  </si>
  <si>
    <t xml:space="preserve">Generel přístupnosti města (odstr.bariér) </t>
  </si>
  <si>
    <t>OZ</t>
  </si>
  <si>
    <t>Zateplení logopedického stacionáře Synkova</t>
  </si>
  <si>
    <t>Transfer na investice OZ</t>
  </si>
  <si>
    <t>Celkem z 3599 - Ostatní činnost ve zdravotnictví</t>
  </si>
  <si>
    <t>3612 - Bytové hospodářství</t>
  </si>
  <si>
    <t>Stavební úpravy Kobližná 10 - 3. a 4. NP</t>
  </si>
  <si>
    <t>BO</t>
  </si>
  <si>
    <t>Stavební úpravy Příční 13</t>
  </si>
  <si>
    <t>Bytový dům Dukelská 88</t>
  </si>
  <si>
    <t>Rekonstrukce bytového domu Mostecká 12</t>
  </si>
  <si>
    <t>Bytový dům pro seniory Cejl</t>
  </si>
  <si>
    <t>Bytový dům Valchařská 14</t>
  </si>
  <si>
    <t>Rekonstrukce bytů pro sociální bydlení</t>
  </si>
  <si>
    <t>Rekonstrukce bytových domů - příprava</t>
  </si>
  <si>
    <t>Zámečnická 2 - sdílené bydlení</t>
  </si>
  <si>
    <t>Protihluková opatření - výměna oken</t>
  </si>
  <si>
    <t>Technické zhodnocení sociálních bytů</t>
  </si>
  <si>
    <t>Bytové domy Vojtova</t>
  </si>
  <si>
    <t>Technické zhodnocení bytových domů</t>
  </si>
  <si>
    <t>Bytov. dům B vč. komunik. a TI Jeneweinova</t>
  </si>
  <si>
    <t>Lokalita bydlení Holásky - TI</t>
  </si>
  <si>
    <t>Výdaje z Fondu bytové výstavby</t>
  </si>
  <si>
    <t>Celkem z 3612 - Bytové hospodářství</t>
  </si>
  <si>
    <t>3619 - Ostatní rozvoj bydlení a bytového hospodářství</t>
  </si>
  <si>
    <t>Investiční zápůjčky z FRB</t>
  </si>
  <si>
    <t>FRB</t>
  </si>
  <si>
    <t>Celkem z 3619 - Ostatní rozvoj bydlení a bytového hospodářství</t>
  </si>
  <si>
    <t>3632 - Pohřebnictví</t>
  </si>
  <si>
    <t>Technické zhodnocení opěrné zdi u sk. 27,28,61 na ÚHmB</t>
  </si>
  <si>
    <t>2016</t>
  </si>
  <si>
    <t>2017</t>
  </si>
  <si>
    <t>SHMB</t>
  </si>
  <si>
    <t>Rek. ohradní zdi ve skupině 3 veřejného pohřebiště Královo Pole</t>
  </si>
  <si>
    <t>Zřízení přístřešku u vstupu do obřadní síně na Ústředním hřbitově města Brna</t>
  </si>
  <si>
    <t>Technické zhodnocení objektů na ÚH Jihlavská</t>
  </si>
  <si>
    <t>Rozšíření hřbitova v Líšni</t>
  </si>
  <si>
    <t>4200</t>
  </si>
  <si>
    <t>Transfer na investice SHMB</t>
  </si>
  <si>
    <t>Celkem z 3632 - Pohřebnictví</t>
  </si>
  <si>
    <t>3633 - Výstavba a údržba místních inženýrských sítí</t>
  </si>
  <si>
    <t>Odvlhčení kolektorů, II. Etapa - investiční dotace TSB</t>
  </si>
  <si>
    <t>12.stavba sekundárního kolektoru Česká-Středova</t>
  </si>
  <si>
    <t>Celkem z 3633 - Výstavba a údržba místních inženýrských sítí</t>
  </si>
  <si>
    <t>3635 - Územní plánování</t>
  </si>
  <si>
    <t>Transfer na investice KAM</t>
  </si>
  <si>
    <t>KAM</t>
  </si>
  <si>
    <t>Celkem z 3635 - Územní plánování</t>
  </si>
  <si>
    <t>3636 - Územní rozvoj</t>
  </si>
  <si>
    <t>Plán udržitelné městské mobility</t>
  </si>
  <si>
    <t>4300</t>
  </si>
  <si>
    <t>Ravitalizace staré Ponávky - příprava</t>
  </si>
  <si>
    <t>OVLHZ</t>
  </si>
  <si>
    <t>Celkem z 3636 - Územní rozvoj</t>
  </si>
  <si>
    <t>3639 - Komunální služby a územní rozvoj j.n.</t>
  </si>
  <si>
    <t>Kryt 10-Z Husova - vzduchotechnika</t>
  </si>
  <si>
    <t>Lány 34 - stavební úpravy (přípojky inž. sítí, kotelna, sociální zázemí)</t>
  </si>
  <si>
    <t>Jakubské nám. 5/Moravské nám. 3 - rekonstrukce a izolace střechy, elevace</t>
  </si>
  <si>
    <t>Technické zhodnocení objektů města</t>
  </si>
  <si>
    <t>6300</t>
  </si>
  <si>
    <t>MO - výkupy pozemků a objektů</t>
  </si>
  <si>
    <t>MO</t>
  </si>
  <si>
    <t>Projektové práce pro OÚPR</t>
  </si>
  <si>
    <t>Výkupy pozemků pro OVLHZ</t>
  </si>
  <si>
    <t>Příprava strategických projektů pro nové programovací období</t>
  </si>
  <si>
    <t>Sanace skalních stěn - projektová příprava</t>
  </si>
  <si>
    <t>Celkem z 3639 - Komunální služby a územní rozvoj j.n.</t>
  </si>
  <si>
    <t>3725 - Využívání a zneškodňování komunálních odpadů</t>
  </si>
  <si>
    <t>SSO Sochorova - příprava</t>
  </si>
  <si>
    <t>Sběrné středisko odpadů Slaměníkova</t>
  </si>
  <si>
    <t>Technické zhodnocení garáží v pronájmu SAKO Brno</t>
  </si>
  <si>
    <t>OŽP</t>
  </si>
  <si>
    <t>Nezdrojová DPH - OŽP</t>
  </si>
  <si>
    <t>Celkem z 3725 - Využívání a zneškodňování komunálních odpadů</t>
  </si>
  <si>
    <t>3741 - Ochrana druhů a stanovišť</t>
  </si>
  <si>
    <t>Expozice lvů - investiční transfer ZOO</t>
  </si>
  <si>
    <t>ZOO</t>
  </si>
  <si>
    <t>ZOO - šimpanzi - II. etapa</t>
  </si>
  <si>
    <t>Dobudování opatření pro migraci obojživelníků v oblasti PP Žebětínský rybník, III. etapa</t>
  </si>
  <si>
    <t>Strategie rozvoje ZOO - transfer na investice</t>
  </si>
  <si>
    <t>Ptačí centrum o.p.s. - investiční dotace</t>
  </si>
  <si>
    <t>Transfer na investice Zoo Brno a stanice zájmových činností</t>
  </si>
  <si>
    <t>Celkem z 3741 - Ochrana druhů a stanovišť</t>
  </si>
  <si>
    <t>3744 - Protierozní, protilavinová a protipožární ochrana</t>
  </si>
  <si>
    <t>Varovný protipovodňový systém a digitální povodňové plány města Brna</t>
  </si>
  <si>
    <t>Celkem z 3744 - Protierozní, protilavinová a protipožární ochrana</t>
  </si>
  <si>
    <t>3745 - Péče a vzhled obcí a veřejnou zeleň</t>
  </si>
  <si>
    <t>Rozšíření parku Špilberk na severním svahu, I. etapa - transfer VZMB, p.o.</t>
  </si>
  <si>
    <t>VZMB</t>
  </si>
  <si>
    <t>Zřízení veřejných grilovacích míst na Brněnské přehradě</t>
  </si>
  <si>
    <t>Les Web internetové stránky</t>
  </si>
  <si>
    <t>Park Koliště pod Janáčkovým divadlem - dokončení</t>
  </si>
  <si>
    <t>Wilsonův les - zajištění svahu nad ulicí Zeleného - příprava</t>
  </si>
  <si>
    <t>Revitalizace Staré Ponávky - lokalita nad sídlištěm Komárov</t>
  </si>
  <si>
    <t>Úprava veřejného prostoru před Janáčkovým divadlem</t>
  </si>
  <si>
    <t>NKP Špilberk - rekonstrukce parku III. Etapa</t>
  </si>
  <si>
    <t>Nízkoprahové centrum v parku Hvězdička</t>
  </si>
  <si>
    <t>Revitalizace městských parků, III. etapa</t>
  </si>
  <si>
    <t>3745 - péče a vzhled obcí a veřejnou zeleň</t>
  </si>
  <si>
    <t>Transfer na investice VZMB</t>
  </si>
  <si>
    <t>Celkem z 3745 - Péče a vzhled obcí a veřejnou zeleň</t>
  </si>
  <si>
    <t>3900 - Ost. Činnosti souvis. se službymi pro obyvatelstvo</t>
  </si>
  <si>
    <t>Dětská skupina Zahradníkova</t>
  </si>
  <si>
    <t>DSZ</t>
  </si>
  <si>
    <t>Celkem z 3900 - Ost. Činnosti souvis. se službymi pro obyvatelstvo</t>
  </si>
  <si>
    <t>7200</t>
  </si>
  <si>
    <t xml:space="preserve">4341 - Soc. pomoc osobám v hmotné nouzi a občanům sociálně nepřizpůsobivým </t>
  </si>
  <si>
    <t>Pilotní testování Rapid Re-Housing</t>
  </si>
  <si>
    <t>OSP</t>
  </si>
  <si>
    <t xml:space="preserve">Celkem z 4341 - Soc. pomoc osobám v hmotné nouzi a občanům sociálně nepřizpůsobivým </t>
  </si>
  <si>
    <t>4342 - Sociální péče a pomoc přistěhovalcům a vybraným etnikům</t>
  </si>
  <si>
    <t>Transfer na investice DROM</t>
  </si>
  <si>
    <t>DROM</t>
  </si>
  <si>
    <t>Celkem z 4342 - Sociální péče a pomoc přistěhovalcům a vybraným etnikům</t>
  </si>
  <si>
    <t>4350 - Domovy pro seniory</t>
  </si>
  <si>
    <t>Stavební úpravy domova pro seniory Vychodilova</t>
  </si>
  <si>
    <t>DS Vychod.</t>
  </si>
  <si>
    <t>Stavební úpravy domova pro seniory Kociánka</t>
  </si>
  <si>
    <t>DS Kociánka</t>
  </si>
  <si>
    <t>Stavební úpravy Domova pro seniory Foltýnova</t>
  </si>
  <si>
    <t>Transfer na investice Domov pro seniory Kociánka</t>
  </si>
  <si>
    <t>Transfer na investice Domov pro seniory Věstonická</t>
  </si>
  <si>
    <t>DS Věston.</t>
  </si>
  <si>
    <t>Transfer na investice Domov pro seniory Foltýnova</t>
  </si>
  <si>
    <t>DS Foltýn.</t>
  </si>
  <si>
    <t>Transfer na investice Domov pro seniory Koniklecová</t>
  </si>
  <si>
    <t>DS Konikl.</t>
  </si>
  <si>
    <t>Transfer na investice Domov pro seniory Okružní</t>
  </si>
  <si>
    <t>DS Okružní</t>
  </si>
  <si>
    <t>Transfer na investice Domov pro seniory Vychodilova</t>
  </si>
  <si>
    <t>Celkem z 4350 - Domovy pro seniory</t>
  </si>
  <si>
    <t>4351 - Osobní asistence, pečovatelská služba a podpora samostatného bydlení</t>
  </si>
  <si>
    <t>DPS Tuřany - Holásky</t>
  </si>
  <si>
    <t>DPS Mlýnská</t>
  </si>
  <si>
    <t>Celkem z 4351 - Osobní asistence, pečovatelská služba a podpora samostatného bydlení</t>
  </si>
  <si>
    <t>4354 - Chráněné bydlení</t>
  </si>
  <si>
    <t>Zařízení sociálních služeb - chráněné bydlení, Nováčkova 38</t>
  </si>
  <si>
    <t>Celkem z 4354 - Chráněné bydlení</t>
  </si>
  <si>
    <t>4357 - Domovy pro osoby se zdravotním postižením a domovy se zvláštním režimem</t>
  </si>
  <si>
    <t>Stavební úpravy domova pro seniory Kosmonautů</t>
  </si>
  <si>
    <t>DS Kosmon.</t>
  </si>
  <si>
    <t>DS Foltýnova 21 - odstranění bariér a zvýšení lůžkové kapacity</t>
  </si>
  <si>
    <t>Zařízení se zvláštním režimem, Mostecká 10, Brno</t>
  </si>
  <si>
    <t>Zařízení sociálních služeb - odlehčovací služba a domov se zvláštním režimem Charbulova</t>
  </si>
  <si>
    <t>Transfer na investice Domov pro seniory Kosmonautů</t>
  </si>
  <si>
    <t>Transfer na investice DS Nopova</t>
  </si>
  <si>
    <t>DS Nopova</t>
  </si>
  <si>
    <t>Celkem z 4357 - Domovy pro osoby se zdravotním postižením a domovy se zvláštním režimem</t>
  </si>
  <si>
    <t>4374 - Domovy pro osoby se zdr. postižením</t>
  </si>
  <si>
    <t>Transfer na investice Centrum sociálních služeb</t>
  </si>
  <si>
    <t>CSS</t>
  </si>
  <si>
    <t>Celkem z 4374 - Domovy pro osoby se zdr. postižením</t>
  </si>
  <si>
    <t>3600</t>
  </si>
  <si>
    <t>5273 - Ostatní správa v oblasti krizového řízení</t>
  </si>
  <si>
    <t>Pořízení náhradního zdroje elektrické energie (elektrocentrála)</t>
  </si>
  <si>
    <t>OOBR</t>
  </si>
  <si>
    <t>Celkem z 5273 - Ostatní správa v oblasti krizového řízení</t>
  </si>
  <si>
    <t>5311 - Bezpečnost a veřejný pořádek</t>
  </si>
  <si>
    <t>Dětské hřiště ŠRS Sykovec</t>
  </si>
  <si>
    <t>MP</t>
  </si>
  <si>
    <t>8200</t>
  </si>
  <si>
    <t>MP Brno - školící objekt ŠRS Sykovec</t>
  </si>
  <si>
    <t>Rekonstrukce objektu na služebnu MP Brno-západ</t>
  </si>
  <si>
    <t>Modernizace radiové sítě a informačního systému MHD</t>
  </si>
  <si>
    <t>Nestavební investice MP</t>
  </si>
  <si>
    <t>Celkem z 5311 - Bezpečnost a veřejný pořádek</t>
  </si>
  <si>
    <t>5319 - Ostatní záležitosti bezpečnosti a veřejného pořádku</t>
  </si>
  <si>
    <t>Transfer na investice OSP</t>
  </si>
  <si>
    <t>Celkem z 5319 - Ostatní záležitosti bezpečnosti a veřejného pořádku</t>
  </si>
  <si>
    <t>3200</t>
  </si>
  <si>
    <t>5511 - Požární ochrana - profesionální část</t>
  </si>
  <si>
    <t>Investiční transfery OVV</t>
  </si>
  <si>
    <t>OVV</t>
  </si>
  <si>
    <t>Celkem z 5511 - Požární ochrana - profesionální část</t>
  </si>
  <si>
    <t>5512 - Požární ochrana - dobrovolná část</t>
  </si>
  <si>
    <t>Hasičská zbrojnice JSDH MČ Brno-Chrlice</t>
  </si>
  <si>
    <t>MČ</t>
  </si>
  <si>
    <t>Zateplení objektu Ukrajinská 2b</t>
  </si>
  <si>
    <t>Celkem z 5512 - Požární ochrana - dobrovolná část</t>
  </si>
  <si>
    <t>6171 - Činnost místní správy</t>
  </si>
  <si>
    <t>Technické zhodnocení vstupu Nové radnice</t>
  </si>
  <si>
    <t>5300</t>
  </si>
  <si>
    <t>Architektonický koncept ICT</t>
  </si>
  <si>
    <t>OMI</t>
  </si>
  <si>
    <t>Doplnění klimatizace v objektu Koliště 19</t>
  </si>
  <si>
    <t>Rekonstrukce sídla ÚMČ Brno-Ivanovice</t>
  </si>
  <si>
    <t>Klimatizace Malinovského nám. 3</t>
  </si>
  <si>
    <t>GIS - rozvoj systému</t>
  </si>
  <si>
    <t>Technické zhodnocení objektů MMB</t>
  </si>
  <si>
    <t>ISMB - agendový aplikační software</t>
  </si>
  <si>
    <t>OMI - informační systém</t>
  </si>
  <si>
    <t>Zateplení radnice Oderská 4</t>
  </si>
  <si>
    <t>Zateplení úřadu městské části Brno-Maloměřice a Obřany</t>
  </si>
  <si>
    <t>Nestavební investice OVV</t>
  </si>
  <si>
    <t>Celkem z 6171 - Činnost místní správy</t>
  </si>
  <si>
    <t>3900</t>
  </si>
  <si>
    <t>6211 - Archivní činnost</t>
  </si>
  <si>
    <t>Velké dějiny města Brna</t>
  </si>
  <si>
    <t>AMB</t>
  </si>
  <si>
    <t>Celkem z 6211 - Archivní činnost</t>
  </si>
  <si>
    <t>6310 - Obecné příjmy a výdaje z finančních operací</t>
  </si>
  <si>
    <t xml:space="preserve">Nákup akcií a majetkových podílů – Veletrhy Brno, a.s.      </t>
  </si>
  <si>
    <t>ORF</t>
  </si>
  <si>
    <t>Celkem z 6310 - Obecné příjmy a výdaje z finančních operací</t>
  </si>
  <si>
    <t>Celkový součet</t>
  </si>
  <si>
    <t>Rekapitulace (v tis. Kč)</t>
  </si>
  <si>
    <t>SK 31.3.2014</t>
  </si>
  <si>
    <t>Základní rozpočet</t>
  </si>
  <si>
    <t>Základní rozpočet - strategické investice</t>
  </si>
  <si>
    <t>Základní rozpočet - akce zajišťované společností BVK, a.s. (ÚZ 49)</t>
  </si>
  <si>
    <t>Fond kofinancování evropských projektů (ORG 5xxx)</t>
  </si>
  <si>
    <t>Sociální fond (ÚZ 82)</t>
  </si>
  <si>
    <t>Fond rozvoje bydlení (ÚZ 40)</t>
  </si>
  <si>
    <t>Fond bytové výstavby (ÚZ 41)</t>
  </si>
  <si>
    <t>Celkem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</si>
</sst>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"/>
    <numFmt numFmtId="165" formatCode="0_)"/>
    <numFmt numFmtId="166" formatCode="0000"/>
    <numFmt numFmtId="167" formatCode="0.0%"/>
  </numFmts>
  <fonts count="30" x14ac:knownFonts="1">
    <font>
      <sz val="10"/>
      <name val="Arial CE"/>
      <charset val="238"/>
    </font>
    <font>
      <sz val="10"/>
      <name val="Courier"/>
      <family val="3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2"/>
      <name val="Arial CE"/>
      <charset val="238"/>
    </font>
    <font>
      <sz val="10"/>
      <name val="Arial CE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color indexed="10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3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sz val="10"/>
      <color theme="0" tint="-0.249977111117893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10"/>
      <color theme="0" tint="-0.14999847407452621"/>
      <name val="Calibri"/>
      <family val="2"/>
      <charset val="238"/>
      <scheme val="minor"/>
    </font>
    <font>
      <b/>
      <u/>
      <sz val="1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b/>
      <sz val="8"/>
      <color indexed="81"/>
      <name val="Tahoma"/>
      <family val="2"/>
      <charset val="238"/>
    </font>
    <font>
      <sz val="8"/>
      <color indexed="81"/>
      <name val="Tahoma"/>
      <family val="2"/>
      <charset val="238"/>
    </font>
    <font>
      <sz val="9"/>
      <color indexed="10"/>
      <name val="Tahoma"/>
      <family val="2"/>
      <charset val="238"/>
    </font>
    <font>
      <sz val="10"/>
      <color indexed="81"/>
      <name val="Tahoma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-0.249977111117893"/>
        <bgColor theme="5" tint="-0.249977111117893"/>
      </patternFill>
    </fill>
    <fill>
      <gradientFill degree="90">
        <stop position="0">
          <color theme="0" tint="-5.0965910824915313E-2"/>
        </stop>
        <stop position="1">
          <color rgb="FFFFC000"/>
        </stop>
      </gradient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thin">
        <color theme="5" tint="0.59999389629810485"/>
      </bottom>
      <diagonal/>
    </border>
    <border>
      <left style="thin">
        <color theme="5" tint="-0.249977111117893"/>
      </left>
      <right style="thin">
        <color theme="5" tint="-0.249977111117893"/>
      </right>
      <top style="thin">
        <color theme="5" tint="-0.249977111117893"/>
      </top>
      <bottom style="thin">
        <color theme="5" tint="-0.249977111117893"/>
      </bottom>
      <diagonal/>
    </border>
    <border>
      <left/>
      <right/>
      <top style="thin">
        <color theme="5" tint="-0.249977111117893"/>
      </top>
      <bottom style="thin">
        <color theme="5" tint="-0.249977111117893"/>
      </bottom>
      <diagonal/>
    </border>
    <border>
      <left style="thin">
        <color theme="5" tint="-0.249977111117893"/>
      </left>
      <right style="thin">
        <color theme="5" tint="-0.249977111117893"/>
      </right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-0.249977111117893"/>
      </left>
      <right style="thin">
        <color theme="5" tint="-0.249977111117893"/>
      </right>
      <top style="double">
        <color theme="5" tint="-0.249977111117893"/>
      </top>
      <bottom/>
      <diagonal/>
    </border>
    <border>
      <left/>
      <right/>
      <top style="double">
        <color theme="5" tint="-0.249977111117893"/>
      </top>
      <bottom/>
      <diagonal/>
    </border>
  </borders>
  <cellStyleXfs count="12">
    <xf numFmtId="0" fontId="0" fillId="0" borderId="0"/>
    <xf numFmtId="165" fontId="1" fillId="0" borderId="0"/>
    <xf numFmtId="0" fontId="3" fillId="0" borderId="0"/>
    <xf numFmtId="0" fontId="1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  <xf numFmtId="0" fontId="16" fillId="0" borderId="0"/>
    <xf numFmtId="0" fontId="19" fillId="0" borderId="0"/>
    <xf numFmtId="9" fontId="19" fillId="0" borderId="0" applyFont="0" applyFill="0" applyBorder="0" applyAlignment="0" applyProtection="0"/>
  </cellStyleXfs>
  <cellXfs count="504">
    <xf numFmtId="0" fontId="0" fillId="0" borderId="0" xfId="0"/>
    <xf numFmtId="1" fontId="6" fillId="0" borderId="10" xfId="6" applyNumberFormat="1" applyFont="1" applyFill="1" applyBorder="1" applyAlignment="1">
      <alignment horizontal="center"/>
    </xf>
    <xf numFmtId="0" fontId="6" fillId="0" borderId="1" xfId="6" applyFont="1" applyFill="1" applyBorder="1" applyAlignment="1">
      <alignment horizontal="center"/>
    </xf>
    <xf numFmtId="1" fontId="6" fillId="0" borderId="1" xfId="6" applyNumberFormat="1" applyFont="1" applyFill="1" applyBorder="1" applyAlignment="1">
      <alignment horizontal="center"/>
    </xf>
    <xf numFmtId="3" fontId="6" fillId="0" borderId="1" xfId="7" applyNumberFormat="1" applyFont="1" applyFill="1" applyBorder="1" applyAlignment="1">
      <alignment horizontal="center"/>
    </xf>
    <xf numFmtId="164" fontId="6" fillId="0" borderId="1" xfId="7" applyNumberFormat="1" applyFont="1" applyFill="1" applyBorder="1" applyAlignment="1">
      <alignment horizontal="center"/>
    </xf>
    <xf numFmtId="164" fontId="6" fillId="0" borderId="7" xfId="7" applyNumberFormat="1" applyFont="1" applyFill="1" applyBorder="1" applyAlignment="1">
      <alignment horizontal="center"/>
    </xf>
    <xf numFmtId="0" fontId="7" fillId="0" borderId="0" xfId="6" applyFont="1" applyFill="1"/>
    <xf numFmtId="1" fontId="8" fillId="0" borderId="17" xfId="6" applyNumberFormat="1" applyFont="1" applyFill="1" applyBorder="1" applyAlignment="1">
      <alignment horizontal="left"/>
    </xf>
    <xf numFmtId="0" fontId="8" fillId="0" borderId="18" xfId="6" applyFont="1" applyFill="1" applyBorder="1" applyAlignment="1"/>
    <xf numFmtId="1" fontId="8" fillId="0" borderId="18" xfId="6" applyNumberFormat="1" applyFont="1" applyFill="1" applyBorder="1" applyAlignment="1">
      <alignment horizontal="center"/>
    </xf>
    <xf numFmtId="0" fontId="8" fillId="0" borderId="18" xfId="6" applyFont="1" applyFill="1" applyBorder="1" applyAlignment="1">
      <alignment horizontal="left"/>
    </xf>
    <xf numFmtId="3" fontId="8" fillId="0" borderId="18" xfId="6" applyNumberFormat="1" applyFont="1" applyFill="1" applyBorder="1" applyAlignment="1">
      <alignment horizontal="right"/>
    </xf>
    <xf numFmtId="164" fontId="8" fillId="0" borderId="18" xfId="0" applyNumberFormat="1" applyFont="1" applyFill="1" applyBorder="1" applyAlignment="1">
      <alignment horizontal="right"/>
    </xf>
    <xf numFmtId="164" fontId="8" fillId="0" borderId="19" xfId="0" applyNumberFormat="1" applyFont="1" applyFill="1" applyBorder="1" applyAlignment="1">
      <alignment horizontal="right"/>
    </xf>
    <xf numFmtId="0" fontId="7" fillId="0" borderId="0" xfId="0" applyFont="1" applyFill="1"/>
    <xf numFmtId="1" fontId="8" fillId="0" borderId="4" xfId="6" applyNumberFormat="1" applyFont="1" applyFill="1" applyBorder="1" applyAlignment="1">
      <alignment horizontal="left"/>
    </xf>
    <xf numFmtId="1" fontId="8" fillId="0" borderId="2" xfId="6" applyNumberFormat="1" applyFont="1" applyFill="1" applyBorder="1" applyAlignment="1">
      <alignment horizontal="center"/>
    </xf>
    <xf numFmtId="0" fontId="8" fillId="0" borderId="2" xfId="6" applyFont="1" applyFill="1" applyBorder="1" applyAlignment="1">
      <alignment horizontal="left"/>
    </xf>
    <xf numFmtId="3" fontId="8" fillId="0" borderId="2" xfId="6" applyNumberFormat="1" applyFont="1" applyFill="1" applyBorder="1" applyAlignment="1">
      <alignment horizontal="right"/>
    </xf>
    <xf numFmtId="164" fontId="8" fillId="0" borderId="2" xfId="0" applyNumberFormat="1" applyFont="1" applyFill="1" applyBorder="1" applyAlignment="1">
      <alignment horizontal="right"/>
    </xf>
    <xf numFmtId="164" fontId="8" fillId="0" borderId="9" xfId="0" applyNumberFormat="1" applyFont="1" applyFill="1" applyBorder="1" applyAlignment="1">
      <alignment horizontal="right"/>
    </xf>
    <xf numFmtId="1" fontId="6" fillId="0" borderId="18" xfId="6" applyNumberFormat="1" applyFont="1" applyFill="1" applyBorder="1" applyAlignment="1"/>
    <xf numFmtId="3" fontId="6" fillId="0" borderId="2" xfId="6" applyNumberFormat="1" applyFont="1" applyFill="1" applyBorder="1" applyAlignment="1">
      <alignment horizontal="right"/>
    </xf>
    <xf numFmtId="164" fontId="6" fillId="0" borderId="2" xfId="0" applyNumberFormat="1" applyFont="1" applyFill="1" applyBorder="1" applyAlignment="1">
      <alignment horizontal="right"/>
    </xf>
    <xf numFmtId="164" fontId="6" fillId="0" borderId="9" xfId="0" applyNumberFormat="1" applyFont="1" applyFill="1" applyBorder="1" applyAlignment="1">
      <alignment horizontal="right"/>
    </xf>
    <xf numFmtId="0" fontId="6" fillId="0" borderId="18" xfId="6" applyFont="1" applyFill="1" applyBorder="1" applyAlignment="1"/>
    <xf numFmtId="0" fontId="8" fillId="0" borderId="0" xfId="0" applyFont="1" applyFill="1"/>
    <xf numFmtId="1" fontId="8" fillId="0" borderId="4" xfId="5" applyNumberFormat="1" applyFont="1" applyFill="1" applyBorder="1" applyAlignment="1">
      <alignment horizontal="left"/>
    </xf>
    <xf numFmtId="1" fontId="8" fillId="0" borderId="2" xfId="5" applyNumberFormat="1" applyFont="1" applyFill="1" applyBorder="1" applyAlignment="1">
      <alignment horizontal="center"/>
    </xf>
    <xf numFmtId="0" fontId="8" fillId="0" borderId="2" xfId="5" applyFont="1" applyFill="1" applyBorder="1" applyAlignment="1">
      <alignment horizontal="left"/>
    </xf>
    <xf numFmtId="3" fontId="8" fillId="0" borderId="2" xfId="5" applyNumberFormat="1" applyFont="1" applyFill="1" applyBorder="1" applyAlignment="1">
      <alignment horizontal="right"/>
    </xf>
    <xf numFmtId="164" fontId="8" fillId="0" borderId="2" xfId="5" applyNumberFormat="1" applyFont="1" applyFill="1" applyBorder="1" applyAlignment="1">
      <alignment horizontal="right"/>
    </xf>
    <xf numFmtId="164" fontId="8" fillId="0" borderId="9" xfId="5" applyNumberFormat="1" applyFont="1" applyFill="1" applyBorder="1" applyAlignment="1">
      <alignment horizontal="right"/>
    </xf>
    <xf numFmtId="164" fontId="8" fillId="0" borderId="2" xfId="6" applyNumberFormat="1" applyFont="1" applyFill="1" applyBorder="1" applyAlignment="1">
      <alignment horizontal="right"/>
    </xf>
    <xf numFmtId="164" fontId="8" fillId="0" borderId="9" xfId="6" applyNumberFormat="1" applyFont="1" applyFill="1" applyBorder="1" applyAlignment="1">
      <alignment horizontal="right"/>
    </xf>
    <xf numFmtId="0" fontId="7" fillId="0" borderId="0" xfId="6" applyFont="1" applyFill="1" applyBorder="1"/>
    <xf numFmtId="0" fontId="8" fillId="0" borderId="2" xfId="6" applyFont="1" applyFill="1" applyBorder="1"/>
    <xf numFmtId="3" fontId="8" fillId="0" borderId="2" xfId="0" applyNumberFormat="1" applyFont="1" applyFill="1" applyBorder="1" applyAlignment="1">
      <alignment horizontal="right"/>
    </xf>
    <xf numFmtId="1" fontId="8" fillId="0" borderId="16" xfId="6" applyNumberFormat="1" applyFont="1" applyFill="1" applyBorder="1" applyAlignment="1">
      <alignment horizontal="left"/>
    </xf>
    <xf numFmtId="0" fontId="6" fillId="0" borderId="13" xfId="6" applyFont="1" applyFill="1" applyBorder="1" applyAlignment="1"/>
    <xf numFmtId="1" fontId="8" fillId="0" borderId="13" xfId="6" applyNumberFormat="1" applyFont="1" applyFill="1" applyBorder="1" applyAlignment="1">
      <alignment horizontal="center"/>
    </xf>
    <xf numFmtId="0" fontId="8" fillId="0" borderId="13" xfId="6" applyFont="1" applyFill="1" applyBorder="1" applyAlignment="1">
      <alignment horizontal="left"/>
    </xf>
    <xf numFmtId="3" fontId="6" fillId="0" borderId="13" xfId="6" applyNumberFormat="1" applyFont="1" applyFill="1" applyBorder="1" applyAlignment="1">
      <alignment horizontal="right"/>
    </xf>
    <xf numFmtId="164" fontId="6" fillId="0" borderId="13" xfId="0" applyNumberFormat="1" applyFont="1" applyFill="1" applyBorder="1" applyAlignment="1">
      <alignment horizontal="right"/>
    </xf>
    <xf numFmtId="164" fontId="6" fillId="0" borderId="15" xfId="0" applyNumberFormat="1" applyFont="1" applyFill="1" applyBorder="1" applyAlignment="1">
      <alignment horizontal="right"/>
    </xf>
    <xf numFmtId="1" fontId="8" fillId="0" borderId="10" xfId="6" applyNumberFormat="1" applyFont="1" applyFill="1" applyBorder="1" applyAlignment="1">
      <alignment horizontal="left"/>
    </xf>
    <xf numFmtId="0" fontId="9" fillId="0" borderId="1" xfId="6" applyFont="1" applyFill="1" applyBorder="1" applyAlignment="1"/>
    <xf numFmtId="1" fontId="8" fillId="0" borderId="1" xfId="6" applyNumberFormat="1" applyFont="1" applyFill="1" applyBorder="1" applyAlignment="1">
      <alignment horizontal="center"/>
    </xf>
    <xf numFmtId="0" fontId="8" fillId="0" borderId="1" xfId="6" applyFont="1" applyFill="1" applyBorder="1" applyAlignment="1">
      <alignment horizontal="left"/>
    </xf>
    <xf numFmtId="3" fontId="6" fillId="0" borderId="1" xfId="6" applyNumberFormat="1" applyFont="1" applyFill="1" applyBorder="1" applyAlignment="1">
      <alignment horizontal="right"/>
    </xf>
    <xf numFmtId="164" fontId="6" fillId="0" borderId="1" xfId="0" applyNumberFormat="1" applyFont="1" applyFill="1" applyBorder="1" applyAlignment="1">
      <alignment horizontal="right"/>
    </xf>
    <xf numFmtId="164" fontId="6" fillId="0" borderId="7" xfId="0" applyNumberFormat="1" applyFont="1" applyFill="1" applyBorder="1" applyAlignment="1">
      <alignment horizontal="right"/>
    </xf>
    <xf numFmtId="1" fontId="8" fillId="0" borderId="0" xfId="0" applyNumberFormat="1" applyFont="1" applyFill="1" applyAlignment="1">
      <alignment horizontal="left"/>
    </xf>
    <xf numFmtId="0" fontId="8" fillId="0" borderId="0" xfId="0" applyFont="1" applyFill="1" applyAlignment="1"/>
    <xf numFmtId="1" fontId="8" fillId="0" borderId="0" xfId="0" applyNumberFormat="1" applyFont="1" applyFill="1" applyAlignment="1">
      <alignment horizontal="center"/>
    </xf>
    <xf numFmtId="0" fontId="8" fillId="0" borderId="0" xfId="0" applyFont="1" applyFill="1" applyAlignment="1">
      <alignment horizontal="left"/>
    </xf>
    <xf numFmtId="3" fontId="8" fillId="0" borderId="0" xfId="0" applyNumberFormat="1" applyFont="1" applyFill="1" applyAlignment="1">
      <alignment horizontal="right"/>
    </xf>
    <xf numFmtId="164" fontId="8" fillId="0" borderId="0" xfId="0" applyNumberFormat="1" applyFont="1" applyFill="1" applyAlignment="1">
      <alignment horizontal="right"/>
    </xf>
    <xf numFmtId="1" fontId="6" fillId="0" borderId="17" xfId="6" applyNumberFormat="1" applyFont="1" applyFill="1" applyBorder="1" applyAlignment="1">
      <alignment horizontal="left"/>
    </xf>
    <xf numFmtId="1" fontId="6" fillId="0" borderId="18" xfId="6" applyNumberFormat="1" applyFont="1" applyFill="1" applyBorder="1" applyAlignment="1">
      <alignment horizontal="center"/>
    </xf>
    <xf numFmtId="0" fontId="6" fillId="0" borderId="18" xfId="6" applyFont="1" applyFill="1" applyBorder="1" applyAlignment="1">
      <alignment horizontal="center"/>
    </xf>
    <xf numFmtId="3" fontId="6" fillId="0" borderId="18" xfId="7" applyNumberFormat="1" applyFont="1" applyFill="1" applyBorder="1" applyAlignment="1">
      <alignment horizontal="center"/>
    </xf>
    <xf numFmtId="0" fontId="8" fillId="0" borderId="2" xfId="6" applyFont="1" applyFill="1" applyBorder="1" applyAlignment="1"/>
    <xf numFmtId="0" fontId="8" fillId="0" borderId="2" xfId="0" applyFont="1" applyFill="1" applyBorder="1"/>
    <xf numFmtId="1" fontId="8" fillId="0" borderId="2" xfId="6" applyNumberFormat="1" applyFont="1" applyFill="1" applyBorder="1" applyAlignment="1">
      <alignment horizontal="left"/>
    </xf>
    <xf numFmtId="3" fontId="8" fillId="0" borderId="2" xfId="2" applyNumberFormat="1" applyFont="1" applyFill="1" applyBorder="1" applyAlignment="1">
      <alignment horizontal="right"/>
    </xf>
    <xf numFmtId="0" fontId="8" fillId="0" borderId="2" xfId="5" applyFont="1" applyFill="1" applyBorder="1" applyAlignment="1"/>
    <xf numFmtId="0" fontId="8" fillId="0" borderId="2" xfId="0" applyFont="1" applyFill="1" applyBorder="1" applyAlignment="1"/>
    <xf numFmtId="0" fontId="8" fillId="0" borderId="2" xfId="7" applyFont="1" applyFill="1" applyBorder="1" applyAlignment="1">
      <alignment horizontal="left"/>
    </xf>
    <xf numFmtId="1" fontId="8" fillId="0" borderId="5" xfId="6" applyNumberFormat="1" applyFont="1" applyFill="1" applyBorder="1" applyAlignment="1">
      <alignment horizontal="left"/>
    </xf>
    <xf numFmtId="1" fontId="8" fillId="0" borderId="6" xfId="6" applyNumberFormat="1" applyFont="1" applyFill="1" applyBorder="1" applyAlignment="1">
      <alignment horizontal="center"/>
    </xf>
    <xf numFmtId="1" fontId="8" fillId="0" borderId="6" xfId="6" applyNumberFormat="1" applyFont="1" applyFill="1" applyBorder="1" applyAlignment="1">
      <alignment horizontal="left"/>
    </xf>
    <xf numFmtId="1" fontId="6" fillId="0" borderId="6" xfId="6" applyNumberFormat="1" applyFont="1" applyFill="1" applyBorder="1" applyAlignment="1"/>
    <xf numFmtId="0" fontId="8" fillId="0" borderId="6" xfId="0" applyFont="1" applyFill="1" applyBorder="1"/>
    <xf numFmtId="3" fontId="6" fillId="0" borderId="6" xfId="0" applyNumberFormat="1" applyFont="1" applyFill="1" applyBorder="1" applyAlignment="1">
      <alignment horizontal="right"/>
    </xf>
    <xf numFmtId="164" fontId="6" fillId="0" borderId="6" xfId="6" applyNumberFormat="1" applyFont="1" applyFill="1" applyBorder="1" applyAlignment="1">
      <alignment horizontal="right"/>
    </xf>
    <xf numFmtId="164" fontId="6" fillId="0" borderId="12" xfId="6" applyNumberFormat="1" applyFont="1" applyFill="1" applyBorder="1" applyAlignment="1">
      <alignment horizontal="right"/>
    </xf>
    <xf numFmtId="1" fontId="8" fillId="0" borderId="20" xfId="6" applyNumberFormat="1" applyFont="1" applyFill="1" applyBorder="1" applyAlignment="1">
      <alignment horizontal="left"/>
    </xf>
    <xf numFmtId="1" fontId="8" fillId="0" borderId="8" xfId="6" applyNumberFormat="1" applyFont="1" applyFill="1" applyBorder="1" applyAlignment="1">
      <alignment horizontal="center"/>
    </xf>
    <xf numFmtId="1" fontId="8" fillId="0" borderId="8" xfId="6" applyNumberFormat="1" applyFont="1" applyFill="1" applyBorder="1" applyAlignment="1">
      <alignment horizontal="left"/>
    </xf>
    <xf numFmtId="0" fontId="8" fillId="0" borderId="18" xfId="0" applyFont="1" applyFill="1" applyBorder="1"/>
    <xf numFmtId="3" fontId="6" fillId="0" borderId="18" xfId="0" applyNumberFormat="1" applyFont="1" applyFill="1" applyBorder="1" applyAlignment="1">
      <alignment horizontal="right"/>
    </xf>
    <xf numFmtId="164" fontId="6" fillId="0" borderId="18" xfId="6" applyNumberFormat="1" applyFont="1" applyFill="1" applyBorder="1" applyAlignment="1">
      <alignment horizontal="right"/>
    </xf>
    <xf numFmtId="164" fontId="6" fillId="0" borderId="21" xfId="6" applyNumberFormat="1" applyFont="1" applyFill="1" applyBorder="1" applyAlignment="1">
      <alignment horizontal="right"/>
    </xf>
    <xf numFmtId="1" fontId="6" fillId="0" borderId="4" xfId="6" applyNumberFormat="1" applyFont="1" applyFill="1" applyBorder="1" applyAlignment="1">
      <alignment horizontal="left"/>
    </xf>
    <xf numFmtId="164" fontId="6" fillId="0" borderId="9" xfId="6" applyNumberFormat="1" applyFont="1" applyFill="1" applyBorder="1" applyAlignment="1">
      <alignment horizontal="right"/>
    </xf>
    <xf numFmtId="0" fontId="8" fillId="0" borderId="2" xfId="0" applyFont="1" applyFill="1" applyBorder="1" applyAlignment="1">
      <alignment horizontal="left"/>
    </xf>
    <xf numFmtId="1" fontId="8" fillId="0" borderId="18" xfId="6" applyNumberFormat="1" applyFont="1" applyFill="1" applyBorder="1" applyAlignment="1">
      <alignment horizontal="left"/>
    </xf>
    <xf numFmtId="0" fontId="8" fillId="2" borderId="2" xfId="0" applyFont="1" applyFill="1" applyBorder="1" applyAlignment="1">
      <alignment horizontal="left"/>
    </xf>
    <xf numFmtId="3" fontId="6" fillId="0" borderId="2" xfId="0" applyNumberFormat="1" applyFont="1" applyFill="1" applyBorder="1" applyAlignment="1">
      <alignment horizontal="right"/>
    </xf>
    <xf numFmtId="164" fontId="6" fillId="0" borderId="2" xfId="6" applyNumberFormat="1" applyFont="1" applyFill="1" applyBorder="1" applyAlignment="1">
      <alignment horizontal="right"/>
    </xf>
    <xf numFmtId="1" fontId="8" fillId="0" borderId="2" xfId="0" applyNumberFormat="1" applyFont="1" applyFill="1" applyBorder="1" applyAlignment="1">
      <alignment horizontal="center"/>
    </xf>
    <xf numFmtId="1" fontId="8" fillId="0" borderId="4" xfId="0" applyNumberFormat="1" applyFont="1" applyFill="1" applyBorder="1" applyAlignment="1">
      <alignment horizontal="left"/>
    </xf>
    <xf numFmtId="0" fontId="8" fillId="0" borderId="2" xfId="5" applyNumberFormat="1" applyFont="1" applyFill="1" applyBorder="1" applyAlignment="1">
      <alignment horizontal="center"/>
    </xf>
    <xf numFmtId="49" fontId="8" fillId="0" borderId="4" xfId="6" applyNumberFormat="1" applyFont="1" applyFill="1" applyBorder="1" applyAlignment="1">
      <alignment horizontal="left" shrinkToFit="1"/>
    </xf>
    <xf numFmtId="1" fontId="8" fillId="0" borderId="17" xfId="5" applyNumberFormat="1" applyFont="1" applyFill="1" applyBorder="1" applyAlignment="1">
      <alignment horizontal="left"/>
    </xf>
    <xf numFmtId="1" fontId="8" fillId="0" borderId="18" xfId="5" applyNumberFormat="1" applyFont="1" applyFill="1" applyBorder="1" applyAlignment="1">
      <alignment horizontal="center"/>
    </xf>
    <xf numFmtId="0" fontId="8" fillId="0" borderId="18" xfId="5" applyFont="1" applyFill="1" applyBorder="1" applyAlignment="1"/>
    <xf numFmtId="0" fontId="8" fillId="0" borderId="18" xfId="5" applyFont="1" applyFill="1" applyBorder="1" applyAlignment="1">
      <alignment horizontal="left"/>
    </xf>
    <xf numFmtId="164" fontId="6" fillId="0" borderId="19" xfId="6" applyNumberFormat="1" applyFont="1" applyFill="1" applyBorder="1" applyAlignment="1">
      <alignment horizontal="right"/>
    </xf>
    <xf numFmtId="1" fontId="6" fillId="0" borderId="4" xfId="5" applyNumberFormat="1" applyFont="1" applyFill="1" applyBorder="1" applyAlignment="1">
      <alignment horizontal="left"/>
    </xf>
    <xf numFmtId="1" fontId="8" fillId="0" borderId="2" xfId="7" applyNumberFormat="1" applyFont="1" applyFill="1" applyBorder="1" applyAlignment="1">
      <alignment horizontal="center"/>
    </xf>
    <xf numFmtId="0" fontId="8" fillId="0" borderId="2" xfId="7" applyNumberFormat="1" applyFont="1" applyFill="1" applyBorder="1" applyAlignment="1">
      <alignment horizontal="left"/>
    </xf>
    <xf numFmtId="0" fontId="8" fillId="0" borderId="2" xfId="7" applyFont="1" applyBorder="1" applyAlignment="1">
      <alignment horizontal="left"/>
    </xf>
    <xf numFmtId="0" fontId="8" fillId="0" borderId="2" xfId="0" applyFont="1" applyFill="1" applyBorder="1" applyAlignment="1">
      <alignment horizontal="left" shrinkToFit="1"/>
    </xf>
    <xf numFmtId="164" fontId="6" fillId="0" borderId="13" xfId="6" applyNumberFormat="1" applyFont="1" applyFill="1" applyBorder="1" applyAlignment="1">
      <alignment horizontal="right"/>
    </xf>
    <xf numFmtId="164" fontId="6" fillId="0" borderId="15" xfId="6" applyNumberFormat="1" applyFont="1" applyFill="1" applyBorder="1" applyAlignment="1">
      <alignment horizontal="right"/>
    </xf>
    <xf numFmtId="0" fontId="8" fillId="0" borderId="2" xfId="7" applyFont="1" applyFill="1" applyBorder="1"/>
    <xf numFmtId="0" fontId="6" fillId="0" borderId="2" xfId="6" applyFont="1" applyFill="1" applyBorder="1" applyAlignment="1"/>
    <xf numFmtId="164" fontId="6" fillId="0" borderId="6" xfId="5" applyNumberFormat="1" applyFont="1" applyFill="1" applyBorder="1" applyAlignment="1">
      <alignment horizontal="right"/>
    </xf>
    <xf numFmtId="164" fontId="6" fillId="0" borderId="12" xfId="5" applyNumberFormat="1" applyFont="1" applyFill="1" applyBorder="1" applyAlignment="1">
      <alignment horizontal="right"/>
    </xf>
    <xf numFmtId="164" fontId="8" fillId="0" borderId="18" xfId="5" applyNumberFormat="1" applyFont="1" applyFill="1" applyBorder="1" applyAlignment="1">
      <alignment horizontal="right"/>
    </xf>
    <xf numFmtId="164" fontId="8" fillId="0" borderId="19" xfId="5" applyNumberFormat="1" applyFont="1" applyFill="1" applyBorder="1" applyAlignment="1">
      <alignment horizontal="right"/>
    </xf>
    <xf numFmtId="0" fontId="8" fillId="0" borderId="2" xfId="4" applyFont="1" applyBorder="1" applyAlignment="1">
      <alignment horizontal="left"/>
    </xf>
    <xf numFmtId="0" fontId="8" fillId="0" borderId="2" xfId="0" applyFont="1" applyBorder="1" applyAlignment="1">
      <alignment horizontal="left"/>
    </xf>
    <xf numFmtId="0" fontId="8" fillId="0" borderId="2" xfId="6" applyFont="1" applyFill="1" applyBorder="1" applyAlignment="1">
      <alignment horizontal="left" shrinkToFit="1"/>
    </xf>
    <xf numFmtId="0" fontId="8" fillId="0" borderId="13" xfId="6" applyFont="1" applyFill="1" applyBorder="1" applyAlignment="1"/>
    <xf numFmtId="3" fontId="8" fillId="0" borderId="13" xfId="6" applyNumberFormat="1" applyFont="1" applyFill="1" applyBorder="1" applyAlignment="1">
      <alignment horizontal="right"/>
    </xf>
    <xf numFmtId="1" fontId="8" fillId="0" borderId="13" xfId="6" applyNumberFormat="1" applyFont="1" applyFill="1" applyBorder="1" applyAlignment="1">
      <alignment horizontal="left"/>
    </xf>
    <xf numFmtId="1" fontId="6" fillId="0" borderId="8" xfId="6" applyNumberFormat="1" applyFont="1" applyFill="1" applyBorder="1" applyAlignment="1"/>
    <xf numFmtId="0" fontId="8" fillId="0" borderId="13" xfId="0" applyFont="1" applyFill="1" applyBorder="1"/>
    <xf numFmtId="3" fontId="6" fillId="0" borderId="13" xfId="0" applyNumberFormat="1" applyFont="1" applyFill="1" applyBorder="1" applyAlignment="1">
      <alignment horizontal="right"/>
    </xf>
    <xf numFmtId="1" fontId="10" fillId="0" borderId="2" xfId="6" applyNumberFormat="1" applyFont="1" applyFill="1" applyBorder="1" applyAlignment="1">
      <alignment horizontal="center"/>
    </xf>
    <xf numFmtId="0" fontId="10" fillId="0" borderId="2" xfId="6" applyFont="1" applyFill="1" applyBorder="1" applyAlignment="1"/>
    <xf numFmtId="49" fontId="8" fillId="0" borderId="16" xfId="6" applyNumberFormat="1" applyFont="1" applyFill="1" applyBorder="1" applyAlignment="1">
      <alignment horizontal="left" shrinkToFit="1"/>
    </xf>
    <xf numFmtId="166" fontId="8" fillId="0" borderId="2" xfId="5" applyNumberFormat="1" applyFont="1" applyFill="1" applyBorder="1" applyAlignment="1">
      <alignment horizontal="left"/>
    </xf>
    <xf numFmtId="1" fontId="8" fillId="0" borderId="10" xfId="5" applyNumberFormat="1" applyFont="1" applyFill="1" applyBorder="1" applyAlignment="1">
      <alignment horizontal="left"/>
    </xf>
    <xf numFmtId="1" fontId="8" fillId="0" borderId="1" xfId="5" applyNumberFormat="1" applyFont="1" applyFill="1" applyBorder="1" applyAlignment="1">
      <alignment horizontal="center"/>
    </xf>
    <xf numFmtId="0" fontId="8" fillId="0" borderId="1" xfId="5" applyFont="1" applyFill="1" applyBorder="1" applyAlignment="1"/>
    <xf numFmtId="0" fontId="8" fillId="0" borderId="1" xfId="5" applyFont="1" applyFill="1" applyBorder="1" applyAlignment="1">
      <alignment horizontal="left"/>
    </xf>
    <xf numFmtId="3" fontId="6" fillId="0" borderId="1" xfId="0" applyNumberFormat="1" applyFont="1" applyFill="1" applyBorder="1" applyAlignment="1">
      <alignment horizontal="right"/>
    </xf>
    <xf numFmtId="164" fontId="6" fillId="0" borderId="1" xfId="6" applyNumberFormat="1" applyFont="1" applyFill="1" applyBorder="1" applyAlignment="1">
      <alignment horizontal="right"/>
    </xf>
    <xf numFmtId="164" fontId="6" fillId="0" borderId="7" xfId="6" applyNumberFormat="1" applyFont="1" applyFill="1" applyBorder="1" applyAlignment="1">
      <alignment horizontal="right"/>
    </xf>
    <xf numFmtId="3" fontId="6" fillId="0" borderId="1" xfId="7" applyNumberFormat="1" applyFont="1" applyFill="1" applyBorder="1" applyAlignment="1">
      <alignment horizontal="center" shrinkToFit="1"/>
    </xf>
    <xf numFmtId="1" fontId="6" fillId="0" borderId="20" xfId="6" applyNumberFormat="1" applyFont="1" applyFill="1" applyBorder="1" applyAlignment="1">
      <alignment horizontal="left"/>
    </xf>
    <xf numFmtId="1" fontId="6" fillId="0" borderId="8" xfId="6" applyNumberFormat="1" applyFont="1" applyFill="1" applyBorder="1" applyAlignment="1">
      <alignment horizontal="center"/>
    </xf>
    <xf numFmtId="0" fontId="6" fillId="0" borderId="8" xfId="6" applyFont="1" applyFill="1" applyBorder="1" applyAlignment="1">
      <alignment horizontal="center"/>
    </xf>
    <xf numFmtId="3" fontId="6" fillId="0" borderId="8" xfId="7" applyNumberFormat="1" applyFont="1" applyFill="1" applyBorder="1" applyAlignment="1">
      <alignment horizontal="center"/>
    </xf>
    <xf numFmtId="164" fontId="6" fillId="0" borderId="8" xfId="7" applyNumberFormat="1" applyFont="1" applyFill="1" applyBorder="1" applyAlignment="1">
      <alignment horizontal="center"/>
    </xf>
    <xf numFmtId="164" fontId="6" fillId="0" borderId="21" xfId="7" applyNumberFormat="1" applyFont="1" applyFill="1" applyBorder="1" applyAlignment="1">
      <alignment horizontal="center"/>
    </xf>
    <xf numFmtId="3" fontId="8" fillId="0" borderId="13" xfId="5" applyNumberFormat="1" applyFont="1" applyFill="1" applyBorder="1" applyAlignment="1">
      <alignment horizontal="right"/>
    </xf>
    <xf numFmtId="1" fontId="8" fillId="0" borderId="16" xfId="5" applyNumberFormat="1" applyFont="1" applyFill="1" applyBorder="1" applyAlignment="1">
      <alignment horizontal="left"/>
    </xf>
    <xf numFmtId="1" fontId="8" fillId="0" borderId="13" xfId="5" applyNumberFormat="1" applyFont="1" applyFill="1" applyBorder="1" applyAlignment="1">
      <alignment horizontal="center"/>
    </xf>
    <xf numFmtId="0" fontId="8" fillId="0" borderId="8" xfId="6" applyFont="1" applyFill="1" applyBorder="1" applyAlignment="1"/>
    <xf numFmtId="164" fontId="8" fillId="0" borderId="13" xfId="5" applyNumberFormat="1" applyFont="1" applyFill="1" applyBorder="1" applyAlignment="1">
      <alignment horizontal="right"/>
    </xf>
    <xf numFmtId="1" fontId="8" fillId="0" borderId="5" xfId="5" applyNumberFormat="1" applyFont="1" applyFill="1" applyBorder="1" applyAlignment="1">
      <alignment horizontal="left"/>
    </xf>
    <xf numFmtId="1" fontId="8" fillId="0" borderId="6" xfId="5" applyNumberFormat="1" applyFont="1" applyFill="1" applyBorder="1" applyAlignment="1">
      <alignment horizontal="center"/>
    </xf>
    <xf numFmtId="0" fontId="8" fillId="0" borderId="6" xfId="5" applyFont="1" applyFill="1" applyBorder="1" applyAlignment="1"/>
    <xf numFmtId="0" fontId="8" fillId="0" borderId="6" xfId="5" applyFont="1" applyFill="1" applyBorder="1" applyAlignment="1">
      <alignment horizontal="left"/>
    </xf>
    <xf numFmtId="3" fontId="6" fillId="0" borderId="6" xfId="5" applyNumberFormat="1" applyFont="1" applyFill="1" applyBorder="1" applyAlignment="1">
      <alignment horizontal="right"/>
    </xf>
    <xf numFmtId="1" fontId="8" fillId="0" borderId="27" xfId="6" applyNumberFormat="1" applyFont="1" applyFill="1" applyBorder="1" applyAlignment="1">
      <alignment horizontal="left"/>
    </xf>
    <xf numFmtId="1" fontId="8" fillId="0" borderId="27" xfId="6" applyNumberFormat="1" applyFont="1" applyFill="1" applyBorder="1" applyAlignment="1">
      <alignment horizontal="center"/>
    </xf>
    <xf numFmtId="1" fontId="8" fillId="0" borderId="27" xfId="6" applyNumberFormat="1" applyFont="1" applyFill="1" applyBorder="1" applyAlignment="1">
      <alignment horizontal="left" shrinkToFit="1"/>
    </xf>
    <xf numFmtId="1" fontId="8" fillId="0" borderId="28" xfId="6" applyNumberFormat="1" applyFont="1" applyFill="1" applyBorder="1" applyAlignment="1">
      <alignment horizontal="left"/>
    </xf>
    <xf numFmtId="0" fontId="8" fillId="0" borderId="6" xfId="6" applyFont="1" applyFill="1" applyBorder="1" applyAlignment="1">
      <alignment horizontal="left"/>
    </xf>
    <xf numFmtId="3" fontId="6" fillId="0" borderId="6" xfId="6" applyNumberFormat="1" applyFont="1" applyFill="1" applyBorder="1" applyAlignment="1">
      <alignment horizontal="right"/>
    </xf>
    <xf numFmtId="164" fontId="6" fillId="0" borderId="6" xfId="0" applyNumberFormat="1" applyFont="1" applyFill="1" applyBorder="1" applyAlignment="1">
      <alignment horizontal="right"/>
    </xf>
    <xf numFmtId="164" fontId="6" fillId="0" borderId="12" xfId="0" applyNumberFormat="1" applyFont="1" applyFill="1" applyBorder="1" applyAlignment="1">
      <alignment horizontal="right"/>
    </xf>
    <xf numFmtId="1" fontId="8" fillId="0" borderId="20" xfId="0" applyNumberFormat="1" applyFont="1" applyFill="1" applyBorder="1" applyAlignment="1">
      <alignment horizontal="left"/>
    </xf>
    <xf numFmtId="1" fontId="8" fillId="0" borderId="29" xfId="0" applyNumberFormat="1" applyFont="1" applyFill="1" applyBorder="1" applyAlignment="1">
      <alignment horizontal="left"/>
    </xf>
    <xf numFmtId="0" fontId="8" fillId="0" borderId="22" xfId="0" applyFont="1" applyFill="1" applyBorder="1" applyAlignment="1"/>
    <xf numFmtId="1" fontId="8" fillId="0" borderId="22" xfId="0" applyNumberFormat="1" applyFont="1" applyFill="1" applyBorder="1" applyAlignment="1">
      <alignment horizontal="center"/>
    </xf>
    <xf numFmtId="0" fontId="8" fillId="0" borderId="22" xfId="0" applyFont="1" applyFill="1" applyBorder="1" applyAlignment="1">
      <alignment horizontal="left"/>
    </xf>
    <xf numFmtId="164" fontId="8" fillId="0" borderId="22" xfId="0" applyNumberFormat="1" applyFont="1" applyFill="1" applyBorder="1" applyAlignment="1">
      <alignment horizontal="right"/>
    </xf>
    <xf numFmtId="1" fontId="8" fillId="0" borderId="25" xfId="0" applyNumberFormat="1" applyFont="1" applyFill="1" applyBorder="1" applyAlignment="1">
      <alignment horizontal="left"/>
    </xf>
    <xf numFmtId="1" fontId="8" fillId="0" borderId="13" xfId="0" applyNumberFormat="1" applyFont="1" applyFill="1" applyBorder="1" applyAlignment="1">
      <alignment horizontal="center"/>
    </xf>
    <xf numFmtId="3" fontId="8" fillId="0" borderId="13" xfId="0" applyNumberFormat="1" applyFont="1" applyFill="1" applyBorder="1" applyAlignment="1">
      <alignment horizontal="right"/>
    </xf>
    <xf numFmtId="164" fontId="8" fillId="0" borderId="13" xfId="0" applyNumberFormat="1" applyFont="1" applyFill="1" applyBorder="1" applyAlignment="1">
      <alignment horizontal="right"/>
    </xf>
    <xf numFmtId="1" fontId="8" fillId="0" borderId="5" xfId="0" applyNumberFormat="1" applyFont="1" applyFill="1" applyBorder="1" applyAlignment="1">
      <alignment horizontal="left"/>
    </xf>
    <xf numFmtId="1" fontId="8" fillId="0" borderId="28" xfId="0" applyNumberFormat="1" applyFont="1" applyFill="1" applyBorder="1" applyAlignment="1">
      <alignment horizontal="left"/>
    </xf>
    <xf numFmtId="0" fontId="6" fillId="0" borderId="6" xfId="0" applyFont="1" applyFill="1" applyBorder="1" applyAlignment="1"/>
    <xf numFmtId="1" fontId="8" fillId="0" borderId="6" xfId="0" applyNumberFormat="1" applyFont="1" applyFill="1" applyBorder="1" applyAlignment="1">
      <alignment horizontal="center"/>
    </xf>
    <xf numFmtId="0" fontId="8" fillId="0" borderId="6" xfId="0" applyFont="1" applyFill="1" applyBorder="1" applyAlignment="1">
      <alignment horizontal="left"/>
    </xf>
    <xf numFmtId="1" fontId="9" fillId="0" borderId="6" xfId="6" applyNumberFormat="1" applyFont="1" applyFill="1" applyBorder="1" applyAlignment="1"/>
    <xf numFmtId="3" fontId="6" fillId="0" borderId="1" xfId="7" applyNumberFormat="1" applyFont="1" applyBorder="1" applyAlignment="1">
      <alignment horizontal="center"/>
    </xf>
    <xf numFmtId="164" fontId="6" fillId="0" borderId="1" xfId="7" applyNumberFormat="1" applyFont="1" applyBorder="1" applyAlignment="1">
      <alignment horizontal="center"/>
    </xf>
    <xf numFmtId="0" fontId="8" fillId="0" borderId="0" xfId="0" applyFont="1"/>
    <xf numFmtId="0" fontId="6" fillId="0" borderId="4" xfId="0" applyFont="1" applyFill="1" applyBorder="1" applyAlignment="1">
      <alignment horizontal="left"/>
    </xf>
    <xf numFmtId="0" fontId="8" fillId="0" borderId="2" xfId="0" applyFont="1" applyFill="1" applyBorder="1" applyAlignment="1">
      <alignment horizontal="center"/>
    </xf>
    <xf numFmtId="3" fontId="6" fillId="0" borderId="2" xfId="7" applyNumberFormat="1" applyFont="1" applyFill="1" applyBorder="1"/>
    <xf numFmtId="164" fontId="6" fillId="0" borderId="2" xfId="7" applyNumberFormat="1" applyFont="1" applyFill="1" applyBorder="1"/>
    <xf numFmtId="164" fontId="6" fillId="0" borderId="9" xfId="7" applyNumberFormat="1" applyFont="1" applyFill="1" applyBorder="1"/>
    <xf numFmtId="0" fontId="8" fillId="0" borderId="4" xfId="7" applyFont="1" applyFill="1" applyBorder="1" applyAlignment="1">
      <alignment horizontal="center"/>
    </xf>
    <xf numFmtId="0" fontId="8" fillId="0" borderId="2" xfId="7" applyFont="1" applyFill="1" applyBorder="1" applyAlignment="1">
      <alignment horizontal="center"/>
    </xf>
    <xf numFmtId="3" fontId="8" fillId="0" borderId="2" xfId="7" applyNumberFormat="1" applyFont="1" applyFill="1" applyBorder="1"/>
    <xf numFmtId="164" fontId="8" fillId="0" borderId="2" xfId="7" applyNumberFormat="1" applyFont="1" applyFill="1" applyBorder="1"/>
    <xf numFmtId="164" fontId="8" fillId="0" borderId="9" xfId="7" applyNumberFormat="1" applyFont="1" applyFill="1" applyBorder="1"/>
    <xf numFmtId="0" fontId="6" fillId="0" borderId="4" xfId="7" applyFont="1" applyFill="1" applyBorder="1" applyAlignment="1">
      <alignment horizontal="left"/>
    </xf>
    <xf numFmtId="0" fontId="11" fillId="0" borderId="4" xfId="7" applyFont="1" applyFill="1" applyBorder="1" applyAlignment="1">
      <alignment horizontal="center"/>
    </xf>
    <xf numFmtId="0" fontId="11" fillId="0" borderId="2" xfId="7" applyFont="1" applyBorder="1" applyAlignment="1">
      <alignment horizontal="center"/>
    </xf>
    <xf numFmtId="3" fontId="6" fillId="0" borderId="2" xfId="7" applyNumberFormat="1" applyFont="1" applyBorder="1" applyAlignment="1">
      <alignment horizontal="center"/>
    </xf>
    <xf numFmtId="164" fontId="6" fillId="0" borderId="25" xfId="7" applyNumberFormat="1" applyFont="1" applyBorder="1" applyAlignment="1">
      <alignment horizontal="center"/>
    </xf>
    <xf numFmtId="164" fontId="6" fillId="0" borderId="9" xfId="7" applyNumberFormat="1" applyFont="1" applyFill="1" applyBorder="1" applyAlignment="1">
      <alignment horizontal="center"/>
    </xf>
    <xf numFmtId="164" fontId="6" fillId="0" borderId="25" xfId="7" applyNumberFormat="1" applyFont="1" applyFill="1" applyBorder="1"/>
    <xf numFmtId="0" fontId="8" fillId="0" borderId="2" xfId="7" applyNumberFormat="1" applyFont="1" applyFill="1" applyBorder="1" applyAlignment="1">
      <alignment horizontal="center"/>
    </xf>
    <xf numFmtId="3" fontId="8" fillId="0" borderId="2" xfId="6" applyNumberFormat="1" applyFont="1" applyBorder="1"/>
    <xf numFmtId="3" fontId="11" fillId="0" borderId="8" xfId="7" applyNumberFormat="1" applyFont="1" applyBorder="1" applyAlignment="1">
      <alignment horizontal="center"/>
    </xf>
    <xf numFmtId="164" fontId="11" fillId="0" borderId="8" xfId="7" applyNumberFormat="1" applyFont="1" applyBorder="1" applyAlignment="1">
      <alignment horizontal="center"/>
    </xf>
    <xf numFmtId="164" fontId="11" fillId="0" borderId="21" xfId="7" applyNumberFormat="1" applyFont="1" applyBorder="1" applyAlignment="1">
      <alignment horizontal="center"/>
    </xf>
    <xf numFmtId="0" fontId="8" fillId="0" borderId="2" xfId="7" applyFont="1" applyBorder="1" applyAlignment="1">
      <alignment horizontal="center"/>
    </xf>
    <xf numFmtId="0" fontId="8" fillId="0" borderId="13" xfId="0" applyFont="1" applyFill="1" applyBorder="1" applyAlignment="1">
      <alignment horizontal="left"/>
    </xf>
    <xf numFmtId="0" fontId="6" fillId="0" borderId="4" xfId="7" applyNumberFormat="1" applyFont="1" applyFill="1" applyBorder="1" applyAlignment="1">
      <alignment horizontal="left"/>
    </xf>
    <xf numFmtId="0" fontId="6" fillId="0" borderId="4" xfId="0" applyFont="1" applyBorder="1" applyAlignment="1">
      <alignment horizontal="left"/>
    </xf>
    <xf numFmtId="0" fontId="8" fillId="0" borderId="2" xfId="0" applyFont="1" applyBorder="1" applyAlignment="1">
      <alignment horizontal="center"/>
    </xf>
    <xf numFmtId="0" fontId="6" fillId="0" borderId="16" xfId="7" applyFont="1" applyFill="1" applyBorder="1" applyAlignment="1">
      <alignment horizontal="left"/>
    </xf>
    <xf numFmtId="0" fontId="8" fillId="0" borderId="13" xfId="7" applyFont="1" applyFill="1" applyBorder="1" applyAlignment="1">
      <alignment horizontal="center"/>
    </xf>
    <xf numFmtId="0" fontId="8" fillId="0" borderId="13" xfId="7" applyFont="1" applyFill="1" applyBorder="1" applyAlignment="1">
      <alignment horizontal="left"/>
    </xf>
    <xf numFmtId="3" fontId="6" fillId="0" borderId="13" xfId="7" applyNumberFormat="1" applyFont="1" applyFill="1" applyBorder="1"/>
    <xf numFmtId="164" fontId="6" fillId="0" borderId="13" xfId="7" applyNumberFormat="1" applyFont="1" applyFill="1" applyBorder="1"/>
    <xf numFmtId="164" fontId="6" fillId="0" borderId="15" xfId="7" applyNumberFormat="1" applyFont="1" applyFill="1" applyBorder="1"/>
    <xf numFmtId="0" fontId="8" fillId="0" borderId="4" xfId="0" applyFont="1" applyFill="1" applyBorder="1" applyAlignment="1">
      <alignment horizontal="center"/>
    </xf>
    <xf numFmtId="3" fontId="8" fillId="0" borderId="2" xfId="0" applyNumberFormat="1" applyFont="1" applyFill="1" applyBorder="1"/>
    <xf numFmtId="164" fontId="8" fillId="0" borderId="2" xfId="0" applyNumberFormat="1" applyFont="1" applyFill="1" applyBorder="1"/>
    <xf numFmtId="164" fontId="8" fillId="0" borderId="9" xfId="0" applyNumberFormat="1" applyFont="1" applyFill="1" applyBorder="1"/>
    <xf numFmtId="0" fontId="8" fillId="2" borderId="2" xfId="0" applyFont="1" applyFill="1" applyBorder="1" applyAlignment="1">
      <alignment horizontal="center"/>
    </xf>
    <xf numFmtId="0" fontId="8" fillId="0" borderId="4" xfId="0" applyFont="1" applyBorder="1" applyAlignment="1">
      <alignment horizontal="center"/>
    </xf>
    <xf numFmtId="3" fontId="8" fillId="0" borderId="2" xfId="0" applyNumberFormat="1" applyFont="1" applyBorder="1"/>
    <xf numFmtId="164" fontId="8" fillId="0" borderId="2" xfId="0" applyNumberFormat="1" applyFont="1" applyBorder="1"/>
    <xf numFmtId="164" fontId="8" fillId="0" borderId="9" xfId="0" applyNumberFormat="1" applyFont="1" applyBorder="1"/>
    <xf numFmtId="0" fontId="8" fillId="0" borderId="24" xfId="5" applyFont="1" applyBorder="1"/>
    <xf numFmtId="0" fontId="8" fillId="0" borderId="3" xfId="4" applyFont="1" applyBorder="1"/>
    <xf numFmtId="0" fontId="6" fillId="0" borderId="26" xfId="4" applyFont="1" applyBorder="1" applyAlignment="1"/>
    <xf numFmtId="0" fontId="6" fillId="2" borderId="4" xfId="0" applyFont="1" applyFill="1" applyBorder="1" applyAlignment="1">
      <alignment horizontal="left"/>
    </xf>
    <xf numFmtId="0" fontId="8" fillId="2" borderId="4" xfId="0" applyFont="1" applyFill="1" applyBorder="1" applyAlignment="1">
      <alignment horizontal="center"/>
    </xf>
    <xf numFmtId="0" fontId="6" fillId="0" borderId="4" xfId="7" applyFont="1" applyFill="1" applyBorder="1" applyAlignment="1">
      <alignment horizontal="left" vertical="center"/>
    </xf>
    <xf numFmtId="0" fontId="8" fillId="0" borderId="2" xfId="7" applyFont="1" applyFill="1" applyBorder="1" applyAlignment="1">
      <alignment horizontal="center" vertical="center"/>
    </xf>
    <xf numFmtId="3" fontId="8" fillId="2" borderId="2" xfId="0" applyNumberFormat="1" applyFont="1" applyFill="1" applyBorder="1"/>
    <xf numFmtId="3" fontId="12" fillId="2" borderId="2" xfId="0" applyNumberFormat="1" applyFont="1" applyFill="1" applyBorder="1"/>
    <xf numFmtId="0" fontId="8" fillId="0" borderId="2" xfId="0" applyFont="1" applyBorder="1" applyAlignment="1">
      <alignment horizontal="left" shrinkToFit="1"/>
    </xf>
    <xf numFmtId="0" fontId="6" fillId="3" borderId="4" xfId="5" applyFont="1" applyFill="1" applyBorder="1" applyAlignment="1">
      <alignment horizontal="left"/>
    </xf>
    <xf numFmtId="0" fontId="6" fillId="0" borderId="16" xfId="0" applyFont="1" applyBorder="1" applyAlignment="1">
      <alignment horizontal="left"/>
    </xf>
    <xf numFmtId="0" fontId="8" fillId="0" borderId="13" xfId="0" applyFont="1" applyBorder="1" applyAlignment="1">
      <alignment horizontal="center"/>
    </xf>
    <xf numFmtId="0" fontId="8" fillId="0" borderId="13" xfId="0" applyFont="1" applyBorder="1" applyAlignment="1">
      <alignment horizontal="left"/>
    </xf>
    <xf numFmtId="3" fontId="6" fillId="0" borderId="14" xfId="7" applyNumberFormat="1" applyFont="1" applyFill="1" applyBorder="1"/>
    <xf numFmtId="3" fontId="6" fillId="0" borderId="3" xfId="7" applyNumberFormat="1" applyFont="1" applyFill="1" applyBorder="1"/>
    <xf numFmtId="164" fontId="6" fillId="0" borderId="3" xfId="7" applyNumberFormat="1" applyFont="1" applyFill="1" applyBorder="1"/>
    <xf numFmtId="3" fontId="8" fillId="0" borderId="3" xfId="0" applyNumberFormat="1" applyFont="1" applyBorder="1"/>
    <xf numFmtId="164" fontId="8" fillId="0" borderId="3" xfId="7" applyNumberFormat="1" applyFont="1" applyFill="1" applyBorder="1"/>
    <xf numFmtId="164" fontId="6" fillId="0" borderId="3" xfId="0" applyNumberFormat="1" applyFont="1" applyBorder="1"/>
    <xf numFmtId="0" fontId="6" fillId="0" borderId="5" xfId="7" applyFont="1" applyFill="1" applyBorder="1" applyAlignment="1">
      <alignment horizontal="left"/>
    </xf>
    <xf numFmtId="0" fontId="8" fillId="0" borderId="6" xfId="7" applyFont="1" applyFill="1" applyBorder="1" applyAlignment="1">
      <alignment horizontal="center"/>
    </xf>
    <xf numFmtId="0" fontId="8" fillId="0" borderId="6" xfId="7" applyFont="1" applyFill="1" applyBorder="1" applyAlignment="1">
      <alignment horizontal="left"/>
    </xf>
    <xf numFmtId="3" fontId="6" fillId="0" borderId="6" xfId="7" applyNumberFormat="1" applyFont="1" applyFill="1" applyBorder="1"/>
    <xf numFmtId="3" fontId="6" fillId="0" borderId="11" xfId="7" applyNumberFormat="1" applyFont="1" applyFill="1" applyBorder="1"/>
    <xf numFmtId="164" fontId="6" fillId="0" borderId="6" xfId="7" applyNumberFormat="1" applyFont="1" applyFill="1" applyBorder="1"/>
    <xf numFmtId="164" fontId="6" fillId="0" borderId="12" xfId="7" applyNumberFormat="1" applyFont="1" applyFill="1" applyBorder="1"/>
    <xf numFmtId="0" fontId="13" fillId="0" borderId="10" xfId="7" applyFont="1" applyFill="1" applyBorder="1" applyAlignment="1">
      <alignment horizontal="left"/>
    </xf>
    <xf numFmtId="0" fontId="14" fillId="0" borderId="1" xfId="7" applyFont="1" applyFill="1" applyBorder="1" applyAlignment="1">
      <alignment horizontal="center"/>
    </xf>
    <xf numFmtId="0" fontId="14" fillId="0" borderId="1" xfId="7" applyFont="1" applyFill="1" applyBorder="1" applyAlignment="1">
      <alignment horizontal="left"/>
    </xf>
    <xf numFmtId="3" fontId="9" fillId="0" borderId="1" xfId="7" applyNumberFormat="1" applyFont="1" applyFill="1" applyBorder="1"/>
    <xf numFmtId="164" fontId="9" fillId="0" borderId="1" xfId="7" applyNumberFormat="1" applyFont="1" applyFill="1" applyBorder="1"/>
    <xf numFmtId="164" fontId="9" fillId="0" borderId="7" xfId="7" applyNumberFormat="1" applyFont="1" applyFill="1" applyBorder="1"/>
    <xf numFmtId="3" fontId="8" fillId="0" borderId="0" xfId="0" applyNumberFormat="1" applyFont="1"/>
    <xf numFmtId="164" fontId="6" fillId="0" borderId="7" xfId="7" applyNumberFormat="1" applyFont="1" applyBorder="1" applyAlignment="1">
      <alignment horizontal="center"/>
    </xf>
    <xf numFmtId="0" fontId="7" fillId="0" borderId="0" xfId="7" applyFont="1" applyFill="1"/>
    <xf numFmtId="0" fontId="7" fillId="0" borderId="0" xfId="7" applyFont="1"/>
    <xf numFmtId="164" fontId="6" fillId="0" borderId="3" xfId="0" applyNumberFormat="1" applyFont="1" applyFill="1" applyBorder="1"/>
    <xf numFmtId="0" fontId="8" fillId="0" borderId="0" xfId="7" applyFont="1" applyFill="1"/>
    <xf numFmtId="0" fontId="8" fillId="0" borderId="0" xfId="7" applyFont="1"/>
    <xf numFmtId="0" fontId="6" fillId="0" borderId="4" xfId="4" applyFont="1" applyBorder="1" applyAlignment="1">
      <alignment horizontal="left"/>
    </xf>
    <xf numFmtId="0" fontId="8" fillId="0" borderId="2" xfId="4" applyFont="1" applyBorder="1" applyAlignment="1">
      <alignment horizontal="center"/>
    </xf>
    <xf numFmtId="0" fontId="8" fillId="2" borderId="4" xfId="4" applyFont="1" applyFill="1" applyBorder="1" applyAlignment="1">
      <alignment horizontal="center"/>
    </xf>
    <xf numFmtId="3" fontId="8" fillId="0" borderId="3" xfId="7" applyNumberFormat="1" applyFont="1" applyFill="1" applyBorder="1"/>
    <xf numFmtId="0" fontId="6" fillId="2" borderId="4" xfId="4" applyFont="1" applyFill="1" applyBorder="1" applyAlignment="1">
      <alignment horizontal="left"/>
    </xf>
    <xf numFmtId="0" fontId="8" fillId="2" borderId="2" xfId="4" applyFont="1" applyFill="1" applyBorder="1" applyAlignment="1">
      <alignment horizontal="center"/>
    </xf>
    <xf numFmtId="0" fontId="8" fillId="2" borderId="2" xfId="4" applyFont="1" applyFill="1" applyBorder="1" applyAlignment="1">
      <alignment horizontal="left"/>
    </xf>
    <xf numFmtId="164" fontId="6" fillId="0" borderId="9" xfId="0" applyNumberFormat="1" applyFont="1" applyFill="1" applyBorder="1"/>
    <xf numFmtId="164" fontId="8" fillId="0" borderId="3" xfId="0" applyNumberFormat="1" applyFont="1" applyFill="1" applyBorder="1"/>
    <xf numFmtId="0" fontId="8" fillId="0" borderId="2" xfId="4" applyFont="1" applyBorder="1"/>
    <xf numFmtId="0" fontId="6" fillId="0" borderId="4" xfId="4" applyFont="1" applyFill="1" applyBorder="1" applyAlignment="1">
      <alignment horizontal="left"/>
    </xf>
    <xf numFmtId="0" fontId="8" fillId="0" borderId="2" xfId="4" applyFont="1" applyFill="1" applyBorder="1" applyAlignment="1">
      <alignment horizontal="center"/>
    </xf>
    <xf numFmtId="0" fontId="8" fillId="0" borderId="2" xfId="4" applyFont="1" applyFill="1" applyBorder="1" applyAlignment="1">
      <alignment horizontal="left"/>
    </xf>
    <xf numFmtId="0" fontId="8" fillId="0" borderId="4" xfId="4" applyFont="1" applyFill="1" applyBorder="1" applyAlignment="1">
      <alignment horizontal="center"/>
    </xf>
    <xf numFmtId="3" fontId="8" fillId="0" borderId="2" xfId="4" applyNumberFormat="1" applyFont="1" applyFill="1" applyBorder="1"/>
    <xf numFmtId="0" fontId="8" fillId="0" borderId="3" xfId="4" applyFont="1" applyFill="1" applyBorder="1" applyAlignment="1">
      <alignment horizontal="left"/>
    </xf>
    <xf numFmtId="0" fontId="8" fillId="0" borderId="2" xfId="4" applyFont="1" applyBorder="1" applyAlignment="1"/>
    <xf numFmtId="0" fontId="8" fillId="0" borderId="4" xfId="4" applyFont="1" applyBorder="1" applyAlignment="1">
      <alignment horizontal="center"/>
    </xf>
    <xf numFmtId="0" fontId="6" fillId="2" borderId="26" xfId="4" applyFont="1" applyFill="1" applyBorder="1" applyAlignment="1">
      <alignment horizontal="left"/>
    </xf>
    <xf numFmtId="164" fontId="6" fillId="0" borderId="9" xfId="0" applyNumberFormat="1" applyFont="1" applyBorder="1"/>
    <xf numFmtId="164" fontId="6" fillId="0" borderId="14" xfId="7" applyNumberFormat="1" applyFont="1" applyFill="1" applyBorder="1"/>
    <xf numFmtId="164" fontId="6" fillId="0" borderId="11" xfId="7" applyNumberFormat="1" applyFont="1" applyFill="1" applyBorder="1"/>
    <xf numFmtId="0" fontId="15" fillId="0" borderId="10" xfId="7" applyFont="1" applyFill="1" applyBorder="1" applyAlignment="1">
      <alignment horizontal="left"/>
    </xf>
    <xf numFmtId="3" fontId="8" fillId="0" borderId="0" xfId="7" applyNumberFormat="1" applyFont="1" applyFill="1"/>
    <xf numFmtId="0" fontId="8" fillId="0" borderId="0" xfId="7" applyFont="1" applyAlignment="1">
      <alignment horizontal="left"/>
    </xf>
    <xf numFmtId="0" fontId="8" fillId="0" borderId="0" xfId="7" applyFont="1" applyAlignment="1">
      <alignment horizontal="center"/>
    </xf>
    <xf numFmtId="3" fontId="8" fillId="0" borderId="0" xfId="7" applyNumberFormat="1" applyFont="1"/>
    <xf numFmtId="164" fontId="8" fillId="0" borderId="0" xfId="7" applyNumberFormat="1" applyFont="1"/>
    <xf numFmtId="0" fontId="6" fillId="0" borderId="10" xfId="7" applyFont="1" applyFill="1" applyBorder="1" applyAlignment="1">
      <alignment horizontal="center"/>
    </xf>
    <xf numFmtId="0" fontId="6" fillId="0" borderId="1" xfId="7" applyFont="1" applyBorder="1" applyAlignment="1">
      <alignment horizontal="center"/>
    </xf>
    <xf numFmtId="0" fontId="8" fillId="0" borderId="13" xfId="5" applyFont="1" applyFill="1" applyBorder="1" applyAlignment="1">
      <alignment horizontal="left"/>
    </xf>
    <xf numFmtId="3" fontId="8" fillId="4" borderId="18" xfId="6" applyNumberFormat="1" applyFont="1" applyFill="1" applyBorder="1" applyAlignment="1">
      <alignment horizontal="right"/>
    </xf>
    <xf numFmtId="3" fontId="8" fillId="4" borderId="2" xfId="0" applyNumberFormat="1" applyFont="1" applyFill="1" applyBorder="1" applyAlignment="1">
      <alignment horizontal="right"/>
    </xf>
    <xf numFmtId="3" fontId="8" fillId="4" borderId="2" xfId="6" applyNumberFormat="1" applyFont="1" applyFill="1" applyBorder="1" applyAlignment="1">
      <alignment horizontal="right"/>
    </xf>
    <xf numFmtId="3" fontId="8" fillId="4" borderId="2" xfId="5" applyNumberFormat="1" applyFont="1" applyFill="1" applyBorder="1" applyAlignment="1">
      <alignment horizontal="right"/>
    </xf>
    <xf numFmtId="3" fontId="6" fillId="4" borderId="6" xfId="0" applyNumberFormat="1" applyFont="1" applyFill="1" applyBorder="1" applyAlignment="1">
      <alignment horizontal="right"/>
    </xf>
    <xf numFmtId="3" fontId="6" fillId="4" borderId="18" xfId="0" applyNumberFormat="1" applyFont="1" applyFill="1" applyBorder="1" applyAlignment="1">
      <alignment horizontal="right"/>
    </xf>
    <xf numFmtId="3" fontId="6" fillId="4" borderId="2" xfId="0" applyNumberFormat="1" applyFont="1" applyFill="1" applyBorder="1" applyAlignment="1">
      <alignment horizontal="right"/>
    </xf>
    <xf numFmtId="3" fontId="6" fillId="4" borderId="13" xfId="0" applyNumberFormat="1" applyFont="1" applyFill="1" applyBorder="1" applyAlignment="1">
      <alignment horizontal="right"/>
    </xf>
    <xf numFmtId="3" fontId="8" fillId="4" borderId="13" xfId="0" applyNumberFormat="1" applyFont="1" applyFill="1" applyBorder="1" applyAlignment="1">
      <alignment horizontal="right"/>
    </xf>
    <xf numFmtId="3" fontId="8" fillId="4" borderId="13" xfId="6" applyNumberFormat="1" applyFont="1" applyFill="1" applyBorder="1" applyAlignment="1">
      <alignment horizontal="right"/>
    </xf>
    <xf numFmtId="3" fontId="8" fillId="4" borderId="13" xfId="5" applyNumberFormat="1" applyFont="1" applyFill="1" applyBorder="1" applyAlignment="1">
      <alignment horizontal="right"/>
    </xf>
    <xf numFmtId="3" fontId="6" fillId="4" borderId="6" xfId="5" applyNumberFormat="1" applyFont="1" applyFill="1" applyBorder="1" applyAlignment="1">
      <alignment horizontal="right"/>
    </xf>
    <xf numFmtId="3" fontId="6" fillId="4" borderId="6" xfId="6" applyNumberFormat="1" applyFont="1" applyFill="1" applyBorder="1" applyAlignment="1">
      <alignment horizontal="right"/>
    </xf>
    <xf numFmtId="3" fontId="8" fillId="4" borderId="0" xfId="0" applyNumberFormat="1" applyFont="1" applyFill="1" applyAlignment="1">
      <alignment horizontal="right"/>
    </xf>
    <xf numFmtId="3" fontId="8" fillId="4" borderId="22" xfId="0" applyNumberFormat="1" applyFont="1" applyFill="1" applyBorder="1" applyAlignment="1">
      <alignment horizontal="right"/>
    </xf>
    <xf numFmtId="3" fontId="8" fillId="4" borderId="23" xfId="0" applyNumberFormat="1" applyFont="1" applyFill="1" applyBorder="1" applyAlignment="1">
      <alignment horizontal="right"/>
    </xf>
    <xf numFmtId="3" fontId="8" fillId="4" borderId="2" xfId="7" applyNumberFormat="1" applyFont="1" applyFill="1" applyBorder="1"/>
    <xf numFmtId="3" fontId="8" fillId="4" borderId="2" xfId="0" applyNumberFormat="1" applyFont="1" applyFill="1" applyBorder="1"/>
    <xf numFmtId="3" fontId="6" fillId="4" borderId="2" xfId="7" applyNumberFormat="1" applyFont="1" applyFill="1" applyBorder="1"/>
    <xf numFmtId="3" fontId="6" fillId="4" borderId="2" xfId="7" applyNumberFormat="1" applyFont="1" applyFill="1" applyBorder="1" applyAlignment="1">
      <alignment horizontal="center"/>
    </xf>
    <xf numFmtId="3" fontId="6" fillId="4" borderId="25" xfId="7" applyNumberFormat="1" applyFont="1" applyFill="1" applyBorder="1" applyAlignment="1">
      <alignment horizontal="center"/>
    </xf>
    <xf numFmtId="3" fontId="6" fillId="4" borderId="25" xfId="7" applyNumberFormat="1" applyFont="1" applyFill="1" applyBorder="1"/>
    <xf numFmtId="3" fontId="8" fillId="4" borderId="2" xfId="6" applyNumberFormat="1" applyFont="1" applyFill="1" applyBorder="1"/>
    <xf numFmtId="3" fontId="11" fillId="4" borderId="8" xfId="7" applyNumberFormat="1" applyFont="1" applyFill="1" applyBorder="1" applyAlignment="1">
      <alignment horizontal="center"/>
    </xf>
    <xf numFmtId="3" fontId="6" fillId="4" borderId="13" xfId="7" applyNumberFormat="1" applyFont="1" applyFill="1" applyBorder="1"/>
    <xf numFmtId="3" fontId="12" fillId="4" borderId="2" xfId="0" applyNumberFormat="1" applyFont="1" applyFill="1" applyBorder="1"/>
    <xf numFmtId="3" fontId="6" fillId="4" borderId="6" xfId="7" applyNumberFormat="1" applyFont="1" applyFill="1" applyBorder="1"/>
    <xf numFmtId="0" fontId="6" fillId="2" borderId="17" xfId="4" applyFont="1" applyFill="1" applyBorder="1" applyAlignment="1">
      <alignment horizontal="left"/>
    </xf>
    <xf numFmtId="0" fontId="8" fillId="0" borderId="32" xfId="7" applyFont="1" applyBorder="1"/>
    <xf numFmtId="3" fontId="6" fillId="4" borderId="1" xfId="7" applyNumberFormat="1" applyFont="1" applyFill="1" applyBorder="1" applyAlignment="1">
      <alignment horizontal="center"/>
    </xf>
    <xf numFmtId="3" fontId="6" fillId="4" borderId="3" xfId="7" applyNumberFormat="1" applyFont="1" applyFill="1" applyBorder="1"/>
    <xf numFmtId="3" fontId="8" fillId="4" borderId="3" xfId="7" applyNumberFormat="1" applyFont="1" applyFill="1" applyBorder="1"/>
    <xf numFmtId="3" fontId="8" fillId="4" borderId="3" xfId="4" applyNumberFormat="1" applyFont="1" applyFill="1" applyBorder="1"/>
    <xf numFmtId="3" fontId="8" fillId="4" borderId="2" xfId="4" applyNumberFormat="1" applyFont="1" applyFill="1" applyBorder="1"/>
    <xf numFmtId="3" fontId="9" fillId="4" borderId="1" xfId="7" applyNumberFormat="1" applyFont="1" applyFill="1" applyBorder="1"/>
    <xf numFmtId="3" fontId="6" fillId="4" borderId="1" xfId="6" applyNumberFormat="1" applyFont="1" applyFill="1" applyBorder="1" applyAlignment="1">
      <alignment horizontal="right"/>
    </xf>
    <xf numFmtId="3" fontId="6" fillId="4" borderId="1" xfId="0" applyNumberFormat="1" applyFont="1" applyFill="1" applyBorder="1" applyAlignment="1">
      <alignment horizontal="right"/>
    </xf>
    <xf numFmtId="0" fontId="8" fillId="0" borderId="2" xfId="7" applyFont="1" applyFill="1" applyBorder="1" applyAlignment="1">
      <alignment horizontal="left" wrapText="1" shrinkToFit="1"/>
    </xf>
    <xf numFmtId="0" fontId="8" fillId="0" borderId="0" xfId="0" applyFont="1" applyAlignment="1">
      <alignment horizontal="center"/>
    </xf>
    <xf numFmtId="0" fontId="8" fillId="5" borderId="0" xfId="0" applyFont="1" applyFill="1"/>
    <xf numFmtId="0" fontId="8" fillId="6" borderId="0" xfId="0" applyFont="1" applyFill="1"/>
    <xf numFmtId="0" fontId="7" fillId="6" borderId="0" xfId="6" applyFont="1" applyFill="1" applyBorder="1"/>
    <xf numFmtId="0" fontId="11" fillId="0" borderId="30" xfId="7" applyFont="1" applyFill="1" applyBorder="1" applyAlignment="1">
      <alignment horizontal="left"/>
    </xf>
    <xf numFmtId="0" fontId="11" fillId="0" borderId="31" xfId="7" applyFont="1" applyFill="1" applyBorder="1" applyAlignment="1">
      <alignment horizontal="left"/>
    </xf>
    <xf numFmtId="0" fontId="11" fillId="0" borderId="32" xfId="7" applyFont="1" applyFill="1" applyBorder="1" applyAlignment="1">
      <alignment horizontal="left"/>
    </xf>
    <xf numFmtId="0" fontId="6" fillId="0" borderId="26" xfId="4" applyFont="1" applyFill="1" applyBorder="1" applyAlignment="1">
      <alignment horizontal="left"/>
    </xf>
    <xf numFmtId="0" fontId="8" fillId="0" borderId="24" xfId="4" applyFont="1" applyBorder="1" applyAlignment="1"/>
    <xf numFmtId="0" fontId="8" fillId="0" borderId="25" xfId="4" applyFont="1" applyBorder="1" applyAlignment="1"/>
    <xf numFmtId="0" fontId="16" fillId="0" borderId="0" xfId="9"/>
    <xf numFmtId="0" fontId="17" fillId="0" borderId="10" xfId="9" applyFont="1" applyBorder="1"/>
    <xf numFmtId="0" fontId="16" fillId="0" borderId="33" xfId="9" applyBorder="1"/>
    <xf numFmtId="0" fontId="17" fillId="0" borderId="10" xfId="9" applyFont="1" applyBorder="1" applyAlignment="1">
      <alignment horizontal="center"/>
    </xf>
    <xf numFmtId="0" fontId="17" fillId="0" borderId="1" xfId="9" applyFont="1" applyBorder="1" applyAlignment="1">
      <alignment horizontal="center"/>
    </xf>
    <xf numFmtId="0" fontId="17" fillId="0" borderId="7" xfId="9" applyFont="1" applyBorder="1" applyAlignment="1">
      <alignment horizontal="center"/>
    </xf>
    <xf numFmtId="0" fontId="17" fillId="0" borderId="34" xfId="9" applyFont="1" applyBorder="1" applyAlignment="1">
      <alignment horizontal="center"/>
    </xf>
    <xf numFmtId="0" fontId="16" fillId="0" borderId="35" xfId="9" applyBorder="1"/>
    <xf numFmtId="0" fontId="16" fillId="0" borderId="0" xfId="9" applyBorder="1"/>
    <xf numFmtId="3" fontId="16" fillId="0" borderId="20" xfId="9" applyNumberFormat="1" applyBorder="1"/>
    <xf numFmtId="3" fontId="16" fillId="0" borderId="8" xfId="9" applyNumberFormat="1" applyBorder="1"/>
    <xf numFmtId="3" fontId="16" fillId="0" borderId="21" xfId="9" applyNumberFormat="1" applyBorder="1"/>
    <xf numFmtId="167" fontId="16" fillId="0" borderId="36" xfId="9" applyNumberFormat="1" applyBorder="1"/>
    <xf numFmtId="0" fontId="16" fillId="0" borderId="37" xfId="9" applyBorder="1"/>
    <xf numFmtId="0" fontId="16" fillId="0" borderId="38" xfId="9" applyBorder="1"/>
    <xf numFmtId="3" fontId="16" fillId="0" borderId="39" xfId="9" applyNumberFormat="1" applyBorder="1"/>
    <xf numFmtId="3" fontId="16" fillId="0" borderId="40" xfId="9" applyNumberFormat="1" applyBorder="1"/>
    <xf numFmtId="3" fontId="16" fillId="0" borderId="41" xfId="9" applyNumberFormat="1" applyBorder="1"/>
    <xf numFmtId="167" fontId="16" fillId="0" borderId="42" xfId="9" applyNumberFormat="1" applyBorder="1"/>
    <xf numFmtId="0" fontId="16" fillId="0" borderId="35" xfId="9" applyBorder="1" applyAlignment="1">
      <alignment wrapText="1"/>
    </xf>
    <xf numFmtId="0" fontId="17" fillId="0" borderId="43" xfId="9" applyFont="1" applyBorder="1"/>
    <xf numFmtId="0" fontId="17" fillId="0" borderId="44" xfId="9" applyFont="1" applyBorder="1"/>
    <xf numFmtId="3" fontId="17" fillId="0" borderId="10" xfId="9" applyNumberFormat="1" applyFont="1" applyBorder="1"/>
    <xf numFmtId="3" fontId="17" fillId="0" borderId="1" xfId="9" applyNumberFormat="1" applyFont="1" applyBorder="1"/>
    <xf numFmtId="3" fontId="17" fillId="0" borderId="7" xfId="9" applyNumberFormat="1" applyFont="1" applyBorder="1"/>
    <xf numFmtId="167" fontId="17" fillId="0" borderId="34" xfId="9" applyNumberFormat="1" applyFont="1" applyBorder="1"/>
    <xf numFmtId="0" fontId="18" fillId="7" borderId="45" xfId="9" applyFont="1" applyFill="1" applyBorder="1" applyAlignment="1">
      <alignment horizontal="center"/>
    </xf>
    <xf numFmtId="3" fontId="16" fillId="0" borderId="46" xfId="9" applyNumberFormat="1" applyFont="1" applyBorder="1"/>
    <xf numFmtId="3" fontId="16" fillId="0" borderId="47" xfId="9" applyNumberFormat="1" applyFont="1" applyBorder="1"/>
    <xf numFmtId="167" fontId="16" fillId="0" borderId="46" xfId="9" applyNumberFormat="1" applyFont="1" applyBorder="1"/>
    <xf numFmtId="3" fontId="16" fillId="0" borderId="48" xfId="9" applyNumberFormat="1" applyFont="1" applyBorder="1"/>
    <xf numFmtId="3" fontId="16" fillId="0" borderId="49" xfId="9" applyNumberFormat="1" applyFont="1" applyBorder="1"/>
    <xf numFmtId="167" fontId="16" fillId="0" borderId="48" xfId="9" applyNumberFormat="1" applyFont="1" applyBorder="1"/>
    <xf numFmtId="3" fontId="17" fillId="0" borderId="50" xfId="9" applyNumberFormat="1" applyFont="1" applyBorder="1"/>
    <xf numFmtId="3" fontId="17" fillId="0" borderId="51" xfId="9" applyNumberFormat="1" applyFont="1" applyBorder="1"/>
    <xf numFmtId="167" fontId="17" fillId="0" borderId="50" xfId="9" applyNumberFormat="1" applyFont="1" applyBorder="1"/>
    <xf numFmtId="0" fontId="16" fillId="0" borderId="0" xfId="10" applyFont="1" applyFill="1" applyProtection="1"/>
    <xf numFmtId="0" fontId="16" fillId="0" borderId="0" xfId="10" applyFont="1" applyFill="1"/>
    <xf numFmtId="0" fontId="20" fillId="0" borderId="0" xfId="10" applyFont="1" applyFill="1" applyAlignment="1" applyProtection="1">
      <alignment horizontal="center"/>
    </xf>
    <xf numFmtId="3" fontId="16" fillId="0" borderId="0" xfId="10" applyNumberFormat="1" applyFont="1" applyFill="1"/>
    <xf numFmtId="0" fontId="16" fillId="0" borderId="0" xfId="10" applyFont="1" applyFill="1" applyAlignment="1" applyProtection="1">
      <alignment horizontal="center" vertical="center"/>
    </xf>
    <xf numFmtId="49" fontId="8" fillId="8" borderId="2" xfId="10" applyNumberFormat="1" applyFont="1" applyFill="1" applyBorder="1" applyAlignment="1">
      <alignment horizontal="center" vertical="center"/>
    </xf>
    <xf numFmtId="0" fontId="8" fillId="8" borderId="2" xfId="10" applyFont="1" applyFill="1" applyBorder="1" applyAlignment="1">
      <alignment horizontal="center" vertical="center"/>
    </xf>
    <xf numFmtId="0" fontId="8" fillId="8" borderId="2" xfId="10" applyFont="1" applyFill="1" applyBorder="1" applyAlignment="1">
      <alignment horizontal="center" vertical="center" wrapText="1"/>
    </xf>
    <xf numFmtId="0" fontId="8" fillId="8" borderId="2" xfId="10" applyFont="1" applyFill="1" applyBorder="1" applyAlignment="1" applyProtection="1">
      <alignment horizontal="center" vertical="center" wrapText="1"/>
    </xf>
    <xf numFmtId="0" fontId="8" fillId="0" borderId="0" xfId="10" applyFont="1" applyFill="1" applyBorder="1" applyAlignment="1">
      <alignment horizontal="center" vertical="center"/>
    </xf>
    <xf numFmtId="0" fontId="20" fillId="0" borderId="0" xfId="10" applyFont="1" applyFill="1" applyAlignment="1" applyProtection="1">
      <alignment horizontal="center" vertical="center" wrapText="1"/>
    </xf>
    <xf numFmtId="1" fontId="20" fillId="0" borderId="0" xfId="10" applyNumberFormat="1" applyFont="1" applyFill="1" applyAlignment="1" applyProtection="1">
      <alignment horizontal="center" vertical="center" wrapText="1"/>
    </xf>
    <xf numFmtId="1" fontId="16" fillId="0" borderId="0" xfId="10" applyNumberFormat="1" applyFont="1" applyFill="1" applyProtection="1"/>
    <xf numFmtId="0" fontId="16" fillId="0" borderId="0" xfId="10" applyFont="1" applyFill="1" applyProtection="1">
      <protection locked="0"/>
    </xf>
    <xf numFmtId="3" fontId="16" fillId="0" borderId="0" xfId="10" applyNumberFormat="1" applyFont="1" applyFill="1" applyProtection="1">
      <protection locked="0"/>
    </xf>
    <xf numFmtId="0" fontId="16" fillId="0" borderId="0" xfId="10" applyFont="1" applyFill="1" applyAlignment="1" applyProtection="1">
      <alignment horizontal="left" vertical="center"/>
      <protection locked="0"/>
    </xf>
    <xf numFmtId="0" fontId="16" fillId="0" borderId="29" xfId="10" applyFont="1" applyFill="1" applyBorder="1" applyProtection="1"/>
    <xf numFmtId="49" fontId="8" fillId="0" borderId="2" xfId="10" applyNumberFormat="1" applyFont="1" applyFill="1" applyBorder="1" applyAlignment="1" applyProtection="1">
      <alignment horizontal="left" vertical="center"/>
      <protection locked="0"/>
    </xf>
    <xf numFmtId="0" fontId="8" fillId="0" borderId="2" xfId="10" applyFont="1" applyFill="1" applyBorder="1" applyAlignment="1" applyProtection="1">
      <alignment horizontal="left"/>
      <protection locked="0"/>
    </xf>
    <xf numFmtId="0" fontId="8" fillId="0" borderId="2" xfId="10" applyFont="1" applyFill="1" applyBorder="1" applyAlignment="1" applyProtection="1">
      <alignment horizontal="left" vertical="center"/>
      <protection locked="0"/>
    </xf>
    <xf numFmtId="0" fontId="8" fillId="0" borderId="2" xfId="10" applyFont="1" applyFill="1" applyBorder="1" applyAlignment="1" applyProtection="1">
      <alignment vertical="center"/>
      <protection locked="0"/>
    </xf>
    <xf numFmtId="3" fontId="8" fillId="0" borderId="2" xfId="10" applyNumberFormat="1" applyFont="1" applyFill="1" applyBorder="1" applyAlignment="1" applyProtection="1">
      <alignment vertical="center" wrapText="1"/>
      <protection locked="0"/>
    </xf>
    <xf numFmtId="3" fontId="8" fillId="0" borderId="2" xfId="10" applyNumberFormat="1" applyFont="1" applyFill="1" applyBorder="1" applyAlignment="1" applyProtection="1">
      <alignment vertical="center" shrinkToFit="1"/>
      <protection locked="0"/>
    </xf>
    <xf numFmtId="3" fontId="8" fillId="0" borderId="2" xfId="10" applyNumberFormat="1" applyFont="1" applyFill="1" applyBorder="1" applyAlignment="1" applyProtection="1">
      <alignment horizontal="right" vertical="center" wrapText="1"/>
      <protection locked="0"/>
    </xf>
    <xf numFmtId="167" fontId="16" fillId="0" borderId="2" xfId="11" applyNumberFormat="1" applyFont="1" applyFill="1" applyBorder="1" applyProtection="1"/>
    <xf numFmtId="3" fontId="8" fillId="0" borderId="2" xfId="10" applyNumberFormat="1" applyFont="1" applyFill="1" applyBorder="1" applyAlignment="1" applyProtection="1">
      <alignment horizontal="right" vertical="center"/>
      <protection locked="0"/>
    </xf>
    <xf numFmtId="3" fontId="21" fillId="0" borderId="2" xfId="10" applyNumberFormat="1" applyFont="1" applyFill="1" applyBorder="1" applyAlignment="1" applyProtection="1">
      <alignment horizontal="right" vertical="center"/>
      <protection locked="0"/>
    </xf>
    <xf numFmtId="0" fontId="8" fillId="0" borderId="2" xfId="10" applyFont="1" applyFill="1" applyBorder="1" applyProtection="1">
      <protection locked="0"/>
    </xf>
    <xf numFmtId="0" fontId="8" fillId="0" borderId="0" xfId="10" applyFont="1" applyFill="1" applyBorder="1" applyAlignment="1" applyProtection="1">
      <alignment horizontal="left" vertical="center"/>
      <protection locked="0"/>
    </xf>
    <xf numFmtId="3" fontId="20" fillId="0" borderId="0" xfId="10" applyNumberFormat="1" applyFont="1" applyFill="1" applyProtection="1"/>
    <xf numFmtId="0" fontId="20" fillId="0" borderId="0" xfId="10" applyFont="1" applyFill="1" applyProtection="1"/>
    <xf numFmtId="1" fontId="20" fillId="0" borderId="0" xfId="10" applyNumberFormat="1" applyFont="1" applyFill="1" applyProtection="1"/>
    <xf numFmtId="0" fontId="22" fillId="0" borderId="0" xfId="10" applyFont="1" applyFill="1" applyProtection="1"/>
    <xf numFmtId="1" fontId="22" fillId="0" borderId="0" xfId="10" applyNumberFormat="1" applyFont="1" applyFill="1" applyProtection="1"/>
    <xf numFmtId="3" fontId="8" fillId="0" borderId="0" xfId="10" applyNumberFormat="1" applyFont="1" applyFill="1" applyBorder="1" applyAlignment="1" applyProtection="1">
      <alignment horizontal="left" vertical="center"/>
      <protection locked="0"/>
    </xf>
    <xf numFmtId="49" fontId="6" fillId="0" borderId="2" xfId="10" applyNumberFormat="1" applyFont="1" applyFill="1" applyBorder="1" applyAlignment="1" applyProtection="1">
      <alignment horizontal="left"/>
      <protection locked="0"/>
    </xf>
    <xf numFmtId="0" fontId="19" fillId="4" borderId="2" xfId="10" applyFill="1" applyBorder="1" applyAlignment="1" applyProtection="1">
      <alignment shrinkToFit="1"/>
    </xf>
    <xf numFmtId="0" fontId="8" fillId="0" borderId="13" xfId="10" applyFont="1" applyFill="1" applyBorder="1" applyAlignment="1" applyProtection="1">
      <alignment horizontal="left" vertical="center"/>
      <protection locked="0"/>
    </xf>
    <xf numFmtId="0" fontId="8" fillId="0" borderId="2" xfId="10" applyFont="1" applyFill="1" applyBorder="1" applyAlignment="1" applyProtection="1">
      <alignment horizontal="left" vertical="center" shrinkToFit="1"/>
      <protection locked="0"/>
    </xf>
    <xf numFmtId="0" fontId="19" fillId="0" borderId="13" xfId="10" applyFill="1" applyBorder="1" applyProtection="1"/>
    <xf numFmtId="3" fontId="19" fillId="0" borderId="2" xfId="10" applyNumberFormat="1" applyBorder="1" applyProtection="1"/>
    <xf numFmtId="3" fontId="19" fillId="0" borderId="2" xfId="10" applyNumberFormat="1" applyFill="1" applyBorder="1" applyProtection="1"/>
    <xf numFmtId="0" fontId="19" fillId="4" borderId="13" xfId="10" applyFill="1" applyBorder="1" applyAlignment="1" applyProtection="1">
      <alignment shrinkToFit="1"/>
    </xf>
    <xf numFmtId="3" fontId="16" fillId="0" borderId="2" xfId="10" applyNumberFormat="1" applyFont="1" applyFill="1" applyBorder="1" applyProtection="1">
      <protection locked="0"/>
    </xf>
    <xf numFmtId="49" fontId="8" fillId="0" borderId="2" xfId="10" applyNumberFormat="1" applyFont="1" applyFill="1" applyBorder="1" applyAlignment="1" applyProtection="1">
      <alignment horizontal="left"/>
      <protection locked="0"/>
    </xf>
    <xf numFmtId="3" fontId="8" fillId="0" borderId="2" xfId="10" applyNumberFormat="1" applyFont="1" applyFill="1" applyBorder="1" applyAlignment="1" applyProtection="1">
      <protection locked="0"/>
    </xf>
    <xf numFmtId="3" fontId="8" fillId="0" borderId="2" xfId="10" applyNumberFormat="1" applyFont="1" applyFill="1" applyBorder="1" applyAlignment="1" applyProtection="1">
      <alignment horizontal="right"/>
      <protection locked="0"/>
    </xf>
    <xf numFmtId="49" fontId="8" fillId="0" borderId="2" xfId="10" applyNumberFormat="1" applyFont="1" applyFill="1" applyBorder="1" applyProtection="1">
      <protection locked="0"/>
    </xf>
    <xf numFmtId="0" fontId="8" fillId="0" borderId="2" xfId="10" applyNumberFormat="1" applyFont="1" applyFill="1" applyBorder="1" applyAlignment="1" applyProtection="1">
      <alignment horizontal="left"/>
      <protection locked="0"/>
    </xf>
    <xf numFmtId="0" fontId="6" fillId="0" borderId="2" xfId="10" applyFont="1" applyFill="1" applyBorder="1" applyAlignment="1" applyProtection="1">
      <alignment horizontal="left"/>
      <protection locked="0"/>
    </xf>
    <xf numFmtId="0" fontId="19" fillId="0" borderId="2" xfId="10" applyBorder="1" applyAlignment="1" applyProtection="1">
      <alignment wrapText="1"/>
      <protection locked="0"/>
    </xf>
    <xf numFmtId="0" fontId="19" fillId="0" borderId="2" xfId="10" applyBorder="1" applyProtection="1"/>
    <xf numFmtId="0" fontId="8" fillId="0" borderId="2" xfId="10" applyFont="1" applyFill="1" applyBorder="1" applyAlignment="1" applyProtection="1">
      <alignment horizontal="center"/>
      <protection locked="0"/>
    </xf>
    <xf numFmtId="0" fontId="19" fillId="0" borderId="13" xfId="10" applyBorder="1" applyProtection="1"/>
    <xf numFmtId="0" fontId="8" fillId="0" borderId="2" xfId="10" applyFont="1" applyFill="1" applyBorder="1" applyAlignment="1" applyProtection="1">
      <alignment horizontal="left"/>
    </xf>
    <xf numFmtId="0" fontId="8" fillId="0" borderId="2" xfId="10" applyFont="1" applyFill="1" applyBorder="1" applyAlignment="1" applyProtection="1">
      <alignment horizontal="left" vertical="center"/>
    </xf>
    <xf numFmtId="0" fontId="8" fillId="0" borderId="2" xfId="10" applyFont="1" applyFill="1" applyBorder="1" applyAlignment="1" applyProtection="1">
      <alignment horizontal="center" vertical="center"/>
    </xf>
    <xf numFmtId="0" fontId="6" fillId="0" borderId="2" xfId="10" applyFont="1" applyFill="1" applyBorder="1" applyAlignment="1" applyProtection="1">
      <alignment horizontal="left"/>
    </xf>
    <xf numFmtId="0" fontId="8" fillId="0" borderId="2" xfId="10" applyNumberFormat="1" applyFont="1" applyFill="1" applyBorder="1" applyProtection="1">
      <protection locked="0"/>
    </xf>
    <xf numFmtId="0" fontId="8" fillId="0" borderId="13" xfId="10" applyFont="1" applyFill="1" applyBorder="1" applyAlignment="1" applyProtection="1">
      <alignment horizontal="left" vertical="center"/>
    </xf>
    <xf numFmtId="0" fontId="8" fillId="0" borderId="2" xfId="10" applyFont="1" applyFill="1" applyBorder="1" applyAlignment="1" applyProtection="1">
      <protection locked="0"/>
    </xf>
    <xf numFmtId="0" fontId="19" fillId="0" borderId="13" xfId="10" applyBorder="1" applyAlignment="1" applyProtection="1">
      <alignment wrapText="1"/>
      <protection locked="0"/>
    </xf>
    <xf numFmtId="3" fontId="8" fillId="0" borderId="2" xfId="10" applyNumberFormat="1" applyFont="1" applyFill="1" applyBorder="1" applyAlignment="1" applyProtection="1">
      <alignment wrapText="1"/>
      <protection locked="0"/>
    </xf>
    <xf numFmtId="3" fontId="8" fillId="0" borderId="2" xfId="10" applyNumberFormat="1" applyFont="1" applyFill="1" applyBorder="1" applyAlignment="1" applyProtection="1">
      <alignment shrinkToFit="1"/>
      <protection locked="0"/>
    </xf>
    <xf numFmtId="3" fontId="8" fillId="0" borderId="2" xfId="10" applyNumberFormat="1" applyFont="1" applyFill="1" applyBorder="1" applyAlignment="1" applyProtection="1">
      <alignment horizontal="right" wrapText="1"/>
      <protection locked="0"/>
    </xf>
    <xf numFmtId="0" fontId="8" fillId="0" borderId="13" xfId="10" applyFont="1" applyFill="1" applyBorder="1" applyAlignment="1" applyProtection="1">
      <alignment horizontal="left"/>
      <protection locked="0"/>
    </xf>
    <xf numFmtId="0" fontId="8" fillId="0" borderId="2" xfId="10" applyFont="1" applyFill="1" applyBorder="1" applyAlignment="1" applyProtection="1">
      <alignment horizontal="right"/>
      <protection locked="0"/>
    </xf>
    <xf numFmtId="0" fontId="6" fillId="0" borderId="2" xfId="10" applyNumberFormat="1" applyFont="1" applyFill="1" applyBorder="1" applyProtection="1">
      <protection locked="0"/>
    </xf>
    <xf numFmtId="0" fontId="19" fillId="0" borderId="2" xfId="10" applyBorder="1"/>
    <xf numFmtId="0" fontId="8" fillId="0" borderId="3" xfId="10" applyFont="1" applyFill="1" applyBorder="1" applyProtection="1">
      <protection locked="0"/>
    </xf>
    <xf numFmtId="0" fontId="8" fillId="0" borderId="25" xfId="10" applyNumberFormat="1" applyFont="1" applyFill="1" applyBorder="1" applyAlignment="1" applyProtection="1">
      <alignment horizontal="left"/>
      <protection locked="0"/>
    </xf>
    <xf numFmtId="0" fontId="8" fillId="0" borderId="3" xfId="10" applyFont="1" applyFill="1" applyBorder="1" applyAlignment="1" applyProtection="1">
      <alignment vertical="center"/>
      <protection locked="0"/>
    </xf>
    <xf numFmtId="0" fontId="8" fillId="0" borderId="25" xfId="10" applyFont="1" applyFill="1" applyBorder="1" applyAlignment="1" applyProtection="1">
      <alignment horizontal="left" vertical="center"/>
      <protection locked="0"/>
    </xf>
    <xf numFmtId="0" fontId="8" fillId="0" borderId="2" xfId="10" applyFont="1" applyFill="1" applyBorder="1" applyAlignment="1" applyProtection="1">
      <alignment horizontal="center" vertical="center"/>
      <protection locked="0"/>
    </xf>
    <xf numFmtId="0" fontId="19" fillId="0" borderId="2" xfId="10" applyBorder="1" applyProtection="1">
      <protection locked="0"/>
    </xf>
    <xf numFmtId="3" fontId="8" fillId="0" borderId="2" xfId="10" applyNumberFormat="1" applyFont="1" applyFill="1" applyBorder="1" applyAlignment="1" applyProtection="1">
      <alignment horizontal="left"/>
      <protection locked="0"/>
    </xf>
    <xf numFmtId="3" fontId="21" fillId="0" borderId="2" xfId="10" applyNumberFormat="1" applyFont="1" applyFill="1" applyBorder="1" applyAlignment="1" applyProtection="1">
      <alignment horizontal="right"/>
      <protection locked="0"/>
    </xf>
    <xf numFmtId="0" fontId="19" fillId="0" borderId="2" xfId="10" applyBorder="1" applyAlignment="1" applyProtection="1">
      <alignment wrapText="1"/>
    </xf>
    <xf numFmtId="0" fontId="8" fillId="0" borderId="2" xfId="10" applyNumberFormat="1" applyFont="1" applyFill="1" applyBorder="1" applyAlignment="1" applyProtection="1">
      <alignment horizontal="left" vertical="center"/>
    </xf>
    <xf numFmtId="0" fontId="8" fillId="0" borderId="0" xfId="10" applyFont="1" applyFill="1" applyBorder="1" applyProtection="1">
      <protection locked="0"/>
    </xf>
    <xf numFmtId="0" fontId="8" fillId="0" borderId="2" xfId="10" applyFont="1" applyFill="1" applyBorder="1" applyAlignment="1" applyProtection="1">
      <alignment horizontal="left" vertical="center" wrapText="1"/>
      <protection locked="0"/>
    </xf>
    <xf numFmtId="0" fontId="8" fillId="0" borderId="2" xfId="10" applyFont="1" applyFill="1" applyBorder="1" applyAlignment="1" applyProtection="1">
      <alignment horizontal="left" wrapText="1"/>
      <protection locked="0"/>
    </xf>
    <xf numFmtId="49" fontId="8" fillId="0" borderId="2" xfId="10" applyNumberFormat="1" applyFont="1" applyFill="1" applyBorder="1" applyAlignment="1" applyProtection="1">
      <protection locked="0"/>
    </xf>
    <xf numFmtId="0" fontId="8" fillId="0" borderId="24" xfId="10" applyFont="1" applyFill="1" applyBorder="1" applyAlignment="1" applyProtection="1">
      <alignment horizontal="left" vertical="center"/>
      <protection locked="0"/>
    </xf>
    <xf numFmtId="0" fontId="19" fillId="0" borderId="2" xfId="10" applyFont="1" applyFill="1" applyBorder="1"/>
    <xf numFmtId="0" fontId="8" fillId="0" borderId="0" xfId="10" applyFont="1" applyFill="1" applyBorder="1" applyAlignment="1" applyProtection="1">
      <protection locked="0"/>
    </xf>
    <xf numFmtId="0" fontId="8" fillId="0" borderId="2" xfId="10" applyFont="1" applyFill="1" applyBorder="1" applyAlignment="1" applyProtection="1">
      <alignment horizontal="left" shrinkToFit="1"/>
      <protection locked="0"/>
    </xf>
    <xf numFmtId="0" fontId="19" fillId="0" borderId="2" xfId="10" applyFont="1" applyBorder="1"/>
    <xf numFmtId="3" fontId="8" fillId="0" borderId="0" xfId="10" applyNumberFormat="1" applyFont="1" applyFill="1" applyBorder="1" applyAlignment="1" applyProtection="1">
      <alignment horizontal="left"/>
      <protection locked="0"/>
    </xf>
    <xf numFmtId="49" fontId="8" fillId="0" borderId="0" xfId="10" applyNumberFormat="1" applyFont="1" applyFill="1" applyBorder="1" applyAlignment="1" applyProtection="1">
      <alignment horizontal="left" vertical="center"/>
      <protection locked="0"/>
    </xf>
    <xf numFmtId="0" fontId="6" fillId="0" borderId="0" xfId="10" applyFont="1" applyFill="1" applyBorder="1" applyAlignment="1" applyProtection="1">
      <alignment horizontal="left"/>
      <protection locked="0"/>
    </xf>
    <xf numFmtId="0" fontId="8" fillId="0" borderId="0" xfId="10" applyFont="1" applyFill="1" applyBorder="1" applyAlignment="1" applyProtection="1">
      <alignment horizontal="left"/>
      <protection locked="0"/>
    </xf>
    <xf numFmtId="0" fontId="8" fillId="0" borderId="0" xfId="10" applyFont="1" applyFill="1" applyBorder="1" applyAlignment="1" applyProtection="1">
      <alignment vertical="center"/>
      <protection locked="0"/>
    </xf>
    <xf numFmtId="0" fontId="19" fillId="0" borderId="0" xfId="10" applyBorder="1" applyProtection="1"/>
    <xf numFmtId="3" fontId="8" fillId="0" borderId="0" xfId="10" applyNumberFormat="1" applyFont="1" applyFill="1" applyBorder="1" applyAlignment="1" applyProtection="1">
      <alignment vertical="center" wrapText="1"/>
      <protection locked="0"/>
    </xf>
    <xf numFmtId="3" fontId="8" fillId="0" borderId="0" xfId="10" applyNumberFormat="1" applyFont="1" applyFill="1" applyBorder="1" applyAlignment="1" applyProtection="1">
      <alignment vertical="center" shrinkToFit="1"/>
      <protection locked="0"/>
    </xf>
    <xf numFmtId="3" fontId="8" fillId="0" borderId="0" xfId="10" applyNumberFormat="1" applyFont="1" applyFill="1" applyBorder="1" applyAlignment="1" applyProtection="1">
      <alignment horizontal="right" vertical="center" wrapText="1"/>
      <protection locked="0"/>
    </xf>
    <xf numFmtId="3" fontId="8" fillId="0" borderId="0" xfId="10" applyNumberFormat="1" applyFont="1" applyFill="1" applyBorder="1" applyAlignment="1" applyProtection="1">
      <alignment horizontal="right" vertical="center"/>
      <protection locked="0"/>
    </xf>
    <xf numFmtId="3" fontId="21" fillId="0" borderId="0" xfId="10" applyNumberFormat="1" applyFont="1" applyFill="1" applyBorder="1" applyAlignment="1" applyProtection="1">
      <alignment horizontal="right" vertical="center"/>
      <protection locked="0"/>
    </xf>
    <xf numFmtId="49" fontId="8" fillId="0" borderId="0" xfId="10" applyNumberFormat="1" applyFont="1" applyFill="1" applyBorder="1"/>
    <xf numFmtId="0" fontId="8" fillId="0" borderId="0" xfId="10" applyFont="1" applyFill="1" applyBorder="1" applyAlignment="1">
      <alignment horizontal="left"/>
    </xf>
    <xf numFmtId="0" fontId="8" fillId="0" borderId="0" xfId="10" applyFont="1" applyFill="1" applyBorder="1"/>
    <xf numFmtId="3" fontId="8" fillId="0" borderId="0" xfId="10" applyNumberFormat="1" applyFont="1" applyFill="1" applyBorder="1" applyAlignment="1">
      <alignment horizontal="right"/>
    </xf>
    <xf numFmtId="167" fontId="8" fillId="0" borderId="0" xfId="11" applyNumberFormat="1" applyFont="1" applyFill="1" applyBorder="1" applyAlignment="1" applyProtection="1">
      <alignment horizontal="right"/>
    </xf>
    <xf numFmtId="0" fontId="8" fillId="0" borderId="0" xfId="10" applyFont="1" applyFill="1"/>
    <xf numFmtId="0" fontId="8" fillId="0" borderId="0" xfId="10" applyFont="1" applyFill="1" applyProtection="1"/>
    <xf numFmtId="49" fontId="8" fillId="0" borderId="0" xfId="10" applyNumberFormat="1" applyFont="1" applyFill="1"/>
    <xf numFmtId="0" fontId="8" fillId="0" borderId="0" xfId="10" applyFont="1" applyFill="1" applyAlignment="1">
      <alignment horizontal="left"/>
    </xf>
    <xf numFmtId="0" fontId="8" fillId="0" borderId="0" xfId="10" applyFont="1" applyFill="1" applyAlignment="1">
      <alignment horizontal="right"/>
    </xf>
    <xf numFmtId="167" fontId="8" fillId="0" borderId="0" xfId="11" applyNumberFormat="1" applyFont="1" applyFill="1" applyAlignment="1" applyProtection="1">
      <alignment horizontal="right"/>
    </xf>
    <xf numFmtId="1" fontId="8" fillId="0" borderId="0" xfId="10" applyNumberFormat="1" applyFont="1" applyFill="1" applyProtection="1"/>
    <xf numFmtId="0" fontId="23" fillId="0" borderId="0" xfId="10" applyFont="1" applyFill="1"/>
    <xf numFmtId="0" fontId="6" fillId="0" borderId="0" xfId="10" applyFont="1" applyFill="1" applyAlignment="1">
      <alignment horizontal="center" vertical="center" wrapText="1"/>
    </xf>
    <xf numFmtId="167" fontId="16" fillId="0" borderId="0" xfId="11" applyNumberFormat="1" applyFont="1" applyFill="1" applyProtection="1"/>
    <xf numFmtId="0" fontId="8" fillId="0" borderId="0" xfId="10" applyFont="1" applyFill="1" applyAlignment="1">
      <alignment horizontal="center" vertical="center" wrapText="1"/>
    </xf>
    <xf numFmtId="0" fontId="8" fillId="0" borderId="0" xfId="10" applyFont="1" applyFill="1" applyAlignment="1">
      <alignment horizontal="center" vertical="center"/>
    </xf>
    <xf numFmtId="3" fontId="8" fillId="0" borderId="0" xfId="10" applyNumberFormat="1" applyFont="1" applyFill="1"/>
    <xf numFmtId="167" fontId="8" fillId="0" borderId="0" xfId="11" applyNumberFormat="1" applyFont="1" applyFill="1"/>
    <xf numFmtId="3" fontId="22" fillId="0" borderId="0" xfId="10" applyNumberFormat="1" applyFont="1" applyFill="1"/>
    <xf numFmtId="0" fontId="22" fillId="0" borderId="0" xfId="10" applyFont="1" applyFill="1"/>
    <xf numFmtId="167" fontId="22" fillId="0" borderId="0" xfId="11" applyNumberFormat="1" applyFont="1" applyFill="1" applyProtection="1"/>
    <xf numFmtId="3" fontId="19" fillId="0" borderId="0" xfId="10" applyNumberFormat="1" applyFont="1"/>
    <xf numFmtId="0" fontId="22" fillId="0" borderId="0" xfId="10" applyFont="1" applyFill="1" applyBorder="1"/>
    <xf numFmtId="167" fontId="22" fillId="0" borderId="0" xfId="11" applyNumberFormat="1" applyFont="1" applyFill="1" applyBorder="1" applyProtection="1"/>
    <xf numFmtId="3" fontId="8" fillId="0" borderId="0" xfId="10" applyNumberFormat="1" applyFont="1" applyFill="1" applyBorder="1"/>
    <xf numFmtId="3" fontId="22" fillId="0" borderId="0" xfId="10" applyNumberFormat="1" applyFont="1" applyFill="1" applyBorder="1"/>
    <xf numFmtId="0" fontId="6" fillId="8" borderId="2" xfId="10" applyFont="1" applyFill="1" applyBorder="1" applyAlignment="1">
      <alignment horizontal="left" vertical="center"/>
    </xf>
    <xf numFmtId="3" fontId="6" fillId="8" borderId="2" xfId="10" applyNumberFormat="1" applyFont="1" applyFill="1" applyBorder="1" applyAlignment="1">
      <alignment horizontal="right" vertical="center"/>
    </xf>
    <xf numFmtId="167" fontId="6" fillId="8" borderId="2" xfId="11" applyNumberFormat="1" applyFont="1" applyFill="1" applyBorder="1" applyAlignment="1">
      <alignment horizontal="right" vertical="center"/>
    </xf>
  </cellXfs>
  <cellStyles count="12">
    <cellStyle name="_Příjmy 2001-tab" xfId="1"/>
    <cellStyle name="_x0001_n" xfId="2"/>
    <cellStyle name="Nedefinován" xfId="3"/>
    <cellStyle name="Normální" xfId="0" builtinId="0"/>
    <cellStyle name="normální 2" xfId="4"/>
    <cellStyle name="Normální 3" xfId="9"/>
    <cellStyle name="Normální 4" xfId="10"/>
    <cellStyle name="normální_Archiv- příjmy" xfId="5"/>
    <cellStyle name="normální_Příjmy 2001-tab" xfId="6"/>
    <cellStyle name="normální_Výdaje 2001-tab" xfId="7"/>
    <cellStyle name="Procenta 2" xfId="11"/>
    <cellStyle name="Styl 1" xfId="8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 tint="-0.1499984740745262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 tint="-0.14999847407452621"/>
        <name val="Calibri"/>
        <scheme val="minor"/>
      </font>
      <fill>
        <patternFill patternType="none">
          <fgColor indexed="64"/>
          <bgColor indexed="65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 tint="-0.249977111117893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protection locked="1" hidden="0"/>
    </dxf>
    <dxf>
      <protection locked="1" hidden="0"/>
    </dxf>
    <dxf>
      <font>
        <b/>
        <i val="0"/>
      </font>
      <fill>
        <gradientFill degree="90">
          <stop position="0">
            <color theme="0"/>
          </stop>
          <stop position="1">
            <color rgb="FFFFE285"/>
          </stop>
        </gradient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gradientFill degree="90">
          <stop position="0">
            <color theme="0" tint="-5.0965910824915313E-2"/>
          </stop>
          <stop position="1">
            <color rgb="FFFFC000"/>
          </stop>
        </gradient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numFmt numFmtId="3" formatCode="#,##0"/>
      <fill>
        <gradientFill degree="90">
          <stop position="0">
            <color theme="0"/>
          </stop>
          <stop position="1">
            <color theme="6" tint="0.40000610370189521"/>
          </stop>
        </gradient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numFmt numFmtId="3" formatCode="#,##0"/>
      <fill>
        <gradientFill degree="90">
          <stop position="0">
            <color theme="0" tint="-5.0965910824915313E-2"/>
          </stop>
          <stop position="1">
            <color theme="6"/>
          </stop>
        </gradient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numFmt numFmtId="3" formatCode="#,##0"/>
      <fill>
        <gradientFill degree="90">
          <stop position="0">
            <color theme="0"/>
          </stop>
          <stop position="1">
            <color theme="6" tint="0.40000610370189521"/>
          </stop>
        </gradient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gradientFill degree="90">
          <stop position="0">
            <color theme="0"/>
          </stop>
          <stop position="0.5">
            <color rgb="FFFF5229"/>
          </stop>
          <stop position="1">
            <color theme="0"/>
          </stop>
        </gradient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20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2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38099</xdr:colOff>
      <xdr:row>0</xdr:row>
      <xdr:rowOff>52388</xdr:rowOff>
    </xdr:from>
    <xdr:to>
      <xdr:col>6</xdr:col>
      <xdr:colOff>190499</xdr:colOff>
      <xdr:row>0</xdr:row>
      <xdr:rowOff>271463</xdr:rowOff>
    </xdr:to>
    <xdr:sp macro="[3]!souhrn_zavplan_on" textlink="">
      <xdr:nvSpPr>
        <xdr:cNvPr id="2" name="Zaoblený obdélník 1"/>
        <xdr:cNvSpPr/>
      </xdr:nvSpPr>
      <xdr:spPr>
        <a:xfrm>
          <a:off x="1066799" y="52388"/>
          <a:ext cx="1819275" cy="219075"/>
        </a:xfrm>
        <a:prstGeom prst="roundRect">
          <a:avLst/>
        </a:prstGeom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cs-CZ" sz="1100" b="1"/>
            <a:t>Souhrn zapni</a:t>
          </a:r>
        </a:p>
      </xdr:txBody>
    </xdr:sp>
    <xdr:clientData/>
  </xdr:twoCellAnchor>
  <xdr:twoCellAnchor>
    <xdr:from>
      <xdr:col>6</xdr:col>
      <xdr:colOff>323849</xdr:colOff>
      <xdr:row>0</xdr:row>
      <xdr:rowOff>47626</xdr:rowOff>
    </xdr:from>
    <xdr:to>
      <xdr:col>6</xdr:col>
      <xdr:colOff>1476375</xdr:colOff>
      <xdr:row>0</xdr:row>
      <xdr:rowOff>276225</xdr:rowOff>
    </xdr:to>
    <xdr:sp macro="[3]!souhrn_zavplan_off" textlink="">
      <xdr:nvSpPr>
        <xdr:cNvPr id="3" name="Zaoblený obdélník 2"/>
        <xdr:cNvSpPr/>
      </xdr:nvSpPr>
      <xdr:spPr>
        <a:xfrm>
          <a:off x="3019424" y="47626"/>
          <a:ext cx="1152526" cy="228599"/>
        </a:xfrm>
        <a:prstGeom prst="roundRect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cs-CZ" sz="1100" b="1"/>
            <a:t>Souhrn vypni</a:t>
          </a:r>
        </a:p>
      </xdr:txBody>
    </xdr:sp>
    <xdr:clientData/>
  </xdr:twoCellAnchor>
  <xdr:twoCellAnchor>
    <xdr:from>
      <xdr:col>1</xdr:col>
      <xdr:colOff>38100</xdr:colOff>
      <xdr:row>0</xdr:row>
      <xdr:rowOff>71438</xdr:rowOff>
    </xdr:from>
    <xdr:to>
      <xdr:col>1</xdr:col>
      <xdr:colOff>228600</xdr:colOff>
      <xdr:row>0</xdr:row>
      <xdr:rowOff>252413</xdr:rowOff>
    </xdr:to>
    <xdr:sp macro="[3]!uroven_dva" textlink="">
      <xdr:nvSpPr>
        <xdr:cNvPr id="4" name="Obdélník 3"/>
        <xdr:cNvSpPr/>
      </xdr:nvSpPr>
      <xdr:spPr>
        <a:xfrm>
          <a:off x="304800" y="71438"/>
          <a:ext cx="190500" cy="180975"/>
        </a:xfrm>
        <a:prstGeom prst="rect">
          <a:avLst/>
        </a:prstGeom>
        <a:gradFill>
          <a:gsLst>
            <a:gs pos="0">
              <a:schemeClr val="bg1">
                <a:lumMod val="65000"/>
              </a:schemeClr>
            </a:gs>
            <a:gs pos="55000">
              <a:schemeClr val="bg1">
                <a:lumMod val="65000"/>
              </a:schemeClr>
            </a:gs>
            <a:gs pos="100000">
              <a:schemeClr val="bg1">
                <a:lumMod val="65000"/>
              </a:schemeClr>
            </a:gs>
          </a:gsLst>
        </a:gra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 anchorCtr="0"/>
        <a:lstStyle/>
        <a:p>
          <a:pPr algn="ctr"/>
          <a:r>
            <a:rPr lang="cs-CZ" sz="1100">
              <a:solidFill>
                <a:schemeClr val="tx1"/>
              </a:solidFill>
            </a:rPr>
            <a:t>2</a:t>
          </a:r>
        </a:p>
      </xdr:txBody>
    </xdr:sp>
    <xdr:clientData/>
  </xdr:twoCellAnchor>
  <xdr:twoCellAnchor>
    <xdr:from>
      <xdr:col>1</xdr:col>
      <xdr:colOff>323850</xdr:colOff>
      <xdr:row>0</xdr:row>
      <xdr:rowOff>71438</xdr:rowOff>
    </xdr:from>
    <xdr:to>
      <xdr:col>2</xdr:col>
      <xdr:colOff>66675</xdr:colOff>
      <xdr:row>0</xdr:row>
      <xdr:rowOff>252413</xdr:rowOff>
    </xdr:to>
    <xdr:sp macro="[3]!uroven_tri" textlink="">
      <xdr:nvSpPr>
        <xdr:cNvPr id="5" name="Obdélník 4"/>
        <xdr:cNvSpPr/>
      </xdr:nvSpPr>
      <xdr:spPr>
        <a:xfrm>
          <a:off x="590550" y="71438"/>
          <a:ext cx="190500" cy="180975"/>
        </a:xfrm>
        <a:prstGeom prst="rect">
          <a:avLst/>
        </a:prstGeom>
        <a:gradFill>
          <a:gsLst>
            <a:gs pos="0">
              <a:schemeClr val="bg1">
                <a:lumMod val="65000"/>
              </a:schemeClr>
            </a:gs>
            <a:gs pos="55000">
              <a:schemeClr val="bg1">
                <a:lumMod val="65000"/>
              </a:schemeClr>
            </a:gs>
            <a:gs pos="100000">
              <a:schemeClr val="bg1">
                <a:lumMod val="65000"/>
              </a:schemeClr>
            </a:gs>
          </a:gsLst>
        </a:gra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 anchorCtr="0"/>
        <a:lstStyle/>
        <a:p>
          <a:pPr algn="ctr"/>
          <a:r>
            <a:rPr lang="cs-CZ" sz="1100">
              <a:solidFill>
                <a:schemeClr val="tx1"/>
              </a:solidFill>
            </a:rPr>
            <a:t>3</a:t>
          </a:r>
        </a:p>
      </xdr:txBody>
    </xdr:sp>
    <xdr:clientData/>
  </xdr:twoCellAnchor>
  <xdr:twoCellAnchor>
    <xdr:from>
      <xdr:col>6</xdr:col>
      <xdr:colOff>2324099</xdr:colOff>
      <xdr:row>0</xdr:row>
      <xdr:rowOff>47626</xdr:rowOff>
    </xdr:from>
    <xdr:to>
      <xdr:col>6</xdr:col>
      <xdr:colOff>3476625</xdr:colOff>
      <xdr:row>0</xdr:row>
      <xdr:rowOff>276225</xdr:rowOff>
    </xdr:to>
    <xdr:sp macro="[3]!pridejradek" textlink="">
      <xdr:nvSpPr>
        <xdr:cNvPr id="6" name="Zaoblený obdélník 5"/>
        <xdr:cNvSpPr/>
      </xdr:nvSpPr>
      <xdr:spPr>
        <a:xfrm>
          <a:off x="5019674" y="47626"/>
          <a:ext cx="1152526" cy="228599"/>
        </a:xfrm>
        <a:prstGeom prst="roundRect">
          <a:avLst/>
        </a:prstGeom>
        <a:gradFill>
          <a:gsLst>
            <a:gs pos="0">
              <a:schemeClr val="tx2"/>
            </a:gs>
            <a:gs pos="100000">
              <a:schemeClr val="accent1"/>
            </a:gs>
            <a:gs pos="99000">
              <a:schemeClr val="accent1">
                <a:lumMod val="75000"/>
              </a:schemeClr>
            </a:gs>
          </a:gsLst>
        </a:gradFill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cs-CZ" sz="1100" b="1"/>
            <a:t>Přidej řádek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Z&#225;v&#283;re&#269;n&#253;%20&#250;&#269;et/Z&#225;v&#283;re&#269;n&#253;%20&#250;&#269;et%202016/Plneni%20BV%20po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VYMENA\BAUER\MICHALA\RO%202014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Z&#225;v&#283;re&#269;n&#253;%20&#250;&#269;et/Z&#225;v&#283;re&#269;n&#253;%20&#250;&#269;et%202016/KV_zavazny_plan_k%2031.12.2016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"/>
      <sheetName val="ORGy"/>
      <sheetName val="ZMB"/>
      <sheetName val="MČ_6441"/>
      <sheetName val="Za"/>
      <sheetName val="Z-P"/>
      <sheetName val="Z-Pp"/>
      <sheetName val="Z-P2"/>
      <sheetName val="Z-P3"/>
      <sheetName val="Z-FBV"/>
      <sheetName val="RMB"/>
      <sheetName val="FKŠ"/>
      <sheetName val="D-SR-JMK"/>
      <sheetName val="aD"/>
      <sheetName val="22005"/>
      <sheetName val="33006"/>
      <sheetName val="33123"/>
      <sheetName val="FV33123"/>
      <sheetName val="13010"/>
      <sheetName val="33019"/>
      <sheetName val="33030"/>
      <sheetName val="14011"/>
      <sheetName val="311"/>
      <sheetName val="29008"/>
      <sheetName val="29004"/>
      <sheetName val="D-FBV"/>
      <sheetName val="D-KV-FK"/>
      <sheetName val="D-PV-FK"/>
      <sheetName val="D-FK"/>
      <sheetName val="D-RR"/>
      <sheetName val="D-RR2"/>
      <sheetName val="SPOD"/>
      <sheetName val="PSPOD"/>
      <sheetName val="Volby"/>
      <sheetName val="PVolby"/>
      <sheetName val="92241"/>
      <sheetName val="P92241"/>
      <sheetName val="13305"/>
      <sheetName val="P13305"/>
      <sheetName val="DROM"/>
      <sheetName val="aDROM"/>
      <sheetName val="14137"/>
      <sheetName val="a14137"/>
      <sheetName val="Položky"/>
      <sheetName val="pomoc"/>
      <sheetName val="csv"/>
    </sheetNames>
    <sheetDataSet>
      <sheetData sheetId="0">
        <row r="25">
          <cell r="N25" t="str">
            <v>ZMB</v>
          </cell>
          <cell r="O25" t="str">
            <v>Z6/035. ZMB ze dne: 17. června 2014, bod č. 142 (RO 147)</v>
          </cell>
        </row>
        <row r="26">
          <cell r="N26" t="str">
            <v>DOTACE</v>
          </cell>
          <cell r="O26" t="str">
            <v>R6/144. RMB ze dne: 16.7.2014, bod č. 6 (RO 149) D</v>
          </cell>
        </row>
        <row r="27">
          <cell r="N27" t="str">
            <v>RMB</v>
          </cell>
          <cell r="O27" t="str">
            <v>R6/143. RMB ze dne: 25. června 2013, bod č. 126 (RO 148)</v>
          </cell>
        </row>
        <row r="28">
          <cell r="N28" t="str">
            <v>ÚPRR - ÚZ</v>
          </cell>
          <cell r="O28" t="str">
            <v>ÚPRR - ÚZ</v>
          </cell>
        </row>
        <row r="29">
          <cell r="N29" t="str">
            <v>ÚPRR - KV</v>
          </cell>
          <cell r="O29" t="str">
            <v>ÚPRR - KV</v>
          </cell>
        </row>
        <row r="30">
          <cell r="N30" t="str">
            <v>ÚPRR - PV</v>
          </cell>
          <cell r="O30" t="str">
            <v>ÚPRR - PV</v>
          </cell>
        </row>
        <row r="31">
          <cell r="N31" t="str">
            <v>Z 250/2000</v>
          </cell>
          <cell r="O31" t="str">
            <v>§16, odst 4. zákona 250/2000 Sb.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uhrn"/>
      <sheetName val="zavplan"/>
      <sheetName val="koment"/>
      <sheetName val="help"/>
      <sheetName val="zp_navrh_pomoc"/>
      <sheetName val="chybyCN"/>
    </sheetNames>
    <definedNames>
      <definedName name="pridejradek"/>
      <definedName name="souhrn_zavplan_off"/>
      <definedName name="souhrn_zavplan_on"/>
      <definedName name="uroven_dva"/>
      <definedName name="uroven_tri"/>
    </definedNames>
    <sheetDataSet>
      <sheetData sheetId="0">
        <row r="5">
          <cell r="P5" t="str">
            <v>10</v>
          </cell>
          <cell r="Q5" t="str">
            <v>10 Zemědělství, lesní hospodářství a rybářství</v>
          </cell>
        </row>
        <row r="6">
          <cell r="P6" t="str">
            <v>21</v>
          </cell>
          <cell r="Q6" t="str">
            <v>21 Průmysl, stavebnictví, obchod a služby</v>
          </cell>
        </row>
        <row r="7">
          <cell r="P7" t="str">
            <v>22</v>
          </cell>
          <cell r="Q7" t="str">
            <v>22 Doprava</v>
          </cell>
        </row>
        <row r="8">
          <cell r="P8" t="str">
            <v>23</v>
          </cell>
          <cell r="Q8" t="str">
            <v>23 Vodní hospodářství</v>
          </cell>
        </row>
        <row r="9">
          <cell r="P9" t="str">
            <v>31</v>
          </cell>
          <cell r="Q9" t="str">
            <v>31 Vzdělávání</v>
          </cell>
        </row>
        <row r="11">
          <cell r="P11" t="str">
            <v>33</v>
          </cell>
          <cell r="Q11" t="str">
            <v>33 Kultura, církve a sdělovací prostředky</v>
          </cell>
        </row>
        <row r="12">
          <cell r="P12" t="str">
            <v>34</v>
          </cell>
          <cell r="Q12" t="str">
            <v>34 Tělovýchova a zájmová činnost</v>
          </cell>
        </row>
        <row r="13">
          <cell r="P13" t="str">
            <v>35</v>
          </cell>
          <cell r="Q13" t="str">
            <v>35 Zdravotnictví</v>
          </cell>
        </row>
        <row r="14">
          <cell r="P14" t="str">
            <v>36</v>
          </cell>
          <cell r="Q14" t="str">
            <v>36 Bydlení, komunální služby a územní rozvoj</v>
          </cell>
        </row>
        <row r="15">
          <cell r="P15" t="str">
            <v>37</v>
          </cell>
          <cell r="Q15" t="str">
            <v>37 Ochrana životního prostředí</v>
          </cell>
        </row>
        <row r="17">
          <cell r="P17" t="str">
            <v>39</v>
          </cell>
          <cell r="Q17" t="str">
            <v>39 Ostatní služby pro obyvatelstvo</v>
          </cell>
        </row>
        <row r="18">
          <cell r="P18" t="str">
            <v>43</v>
          </cell>
          <cell r="Q18" t="str">
            <v>43 Sociální péče a pomoc a spol. činnosti v soc. zabezp. a pol. zaměstnanosti</v>
          </cell>
        </row>
        <row r="19">
          <cell r="P19" t="str">
            <v>52</v>
          </cell>
          <cell r="Q19" t="str">
            <v>52 Civilní připravenost na krizové stavy</v>
          </cell>
        </row>
        <row r="21">
          <cell r="P21" t="str">
            <v>53</v>
          </cell>
          <cell r="Q21" t="str">
            <v>53 Bezpečnost a veřejný pořádek</v>
          </cell>
        </row>
        <row r="23">
          <cell r="P23" t="str">
            <v>55</v>
          </cell>
          <cell r="Q23" t="str">
            <v>55 Požární ochrana a integrovaný záchranný systém</v>
          </cell>
        </row>
        <row r="24">
          <cell r="P24" t="str">
            <v>61</v>
          </cell>
          <cell r="Q24" t="str">
            <v>61 Státní moc, státní správa, územní samospráva a politické strany</v>
          </cell>
        </row>
        <row r="25">
          <cell r="P25" t="str">
            <v>62</v>
          </cell>
          <cell r="Q25" t="str">
            <v>62 Jiné veřejné služby a činnosti</v>
          </cell>
        </row>
        <row r="26">
          <cell r="P26" t="str">
            <v>63</v>
          </cell>
          <cell r="Q26" t="str">
            <v>63 Finanční operace</v>
          </cell>
        </row>
        <row r="27">
          <cell r="P27" t="str">
            <v>64</v>
          </cell>
          <cell r="Q27" t="str">
            <v>64 Ostatní činnosti</v>
          </cell>
        </row>
      </sheetData>
      <sheetData sheetId="1"/>
      <sheetData sheetId="2">
        <row r="1">
          <cell r="F1">
            <v>0.8</v>
          </cell>
        </row>
        <row r="2">
          <cell r="F2">
            <v>1000</v>
          </cell>
        </row>
      </sheetData>
      <sheetData sheetId="3" refreshError="1"/>
      <sheetData sheetId="4">
        <row r="3">
          <cell r="X3">
            <v>1600</v>
          </cell>
          <cell r="Y3" t="str">
            <v>Kancelář strategie města</v>
          </cell>
        </row>
        <row r="4">
          <cell r="X4">
            <v>1700</v>
          </cell>
          <cell r="Y4" t="str">
            <v>Odbor rozpočtu a financování</v>
          </cell>
        </row>
        <row r="5">
          <cell r="X5">
            <v>1900</v>
          </cell>
          <cell r="Y5" t="str">
            <v>Kancelář primátora města Brna</v>
          </cell>
        </row>
        <row r="6">
          <cell r="X6">
            <v>3200</v>
          </cell>
          <cell r="Y6" t="str">
            <v>Odbor vnitřních věcí</v>
          </cell>
        </row>
        <row r="7">
          <cell r="X7">
            <v>3600</v>
          </cell>
          <cell r="Y7" t="str">
            <v>Odbor obrany</v>
          </cell>
        </row>
        <row r="8">
          <cell r="X8">
            <v>3900</v>
          </cell>
          <cell r="Y8" t="str">
            <v>Archiv města Brna</v>
          </cell>
        </row>
        <row r="9">
          <cell r="X9">
            <v>4100</v>
          </cell>
          <cell r="Y9" t="str">
            <v>Odbor územního plánování a rozvoje</v>
          </cell>
        </row>
        <row r="10">
          <cell r="X10">
            <v>4200</v>
          </cell>
          <cell r="Y10" t="str">
            <v>Odbor životního prostředí</v>
          </cell>
        </row>
        <row r="11">
          <cell r="X11">
            <v>4300</v>
          </cell>
          <cell r="Y11" t="str">
            <v>Odbor vodního a lesního hospodářství a zemědělství</v>
          </cell>
        </row>
        <row r="12">
          <cell r="X12">
            <v>5300</v>
          </cell>
          <cell r="Y12" t="str">
            <v>Odbor městské informatiky</v>
          </cell>
        </row>
        <row r="13">
          <cell r="X13">
            <v>5400</v>
          </cell>
          <cell r="Y13" t="str">
            <v xml:space="preserve">Odbor dopravy </v>
          </cell>
        </row>
        <row r="14">
          <cell r="X14">
            <v>5600</v>
          </cell>
          <cell r="Y14" t="str">
            <v xml:space="preserve">Odbor investiční </v>
          </cell>
        </row>
        <row r="15">
          <cell r="X15">
            <v>5700</v>
          </cell>
          <cell r="Y15" t="str">
            <v>Odbor technickýck sítí</v>
          </cell>
        </row>
        <row r="16">
          <cell r="X16">
            <v>5900</v>
          </cell>
          <cell r="Y16" t="str">
            <v>Odbor implementace evropských projektů</v>
          </cell>
        </row>
        <row r="17">
          <cell r="X17">
            <v>6200</v>
          </cell>
          <cell r="Y17" t="str">
            <v>Bytový odbor</v>
          </cell>
        </row>
        <row r="18">
          <cell r="X18">
            <v>6300</v>
          </cell>
          <cell r="Y18" t="str">
            <v>Majetkový odbor</v>
          </cell>
        </row>
        <row r="19">
          <cell r="X19">
            <v>6600</v>
          </cell>
          <cell r="Y19" t="str">
            <v>Odbor správy majetku</v>
          </cell>
        </row>
        <row r="20">
          <cell r="X20">
            <v>6700</v>
          </cell>
          <cell r="Y20" t="str">
            <v xml:space="preserve">Odbor školství, mládeže a tělovýchovy </v>
          </cell>
        </row>
        <row r="21">
          <cell r="X21">
            <v>7100</v>
          </cell>
          <cell r="Y21" t="str">
            <v>Odbor zdraví</v>
          </cell>
        </row>
        <row r="22">
          <cell r="X22">
            <v>7200</v>
          </cell>
          <cell r="Y22" t="str">
            <v>Odbor sociální péče</v>
          </cell>
        </row>
        <row r="23">
          <cell r="X23">
            <v>7300</v>
          </cell>
          <cell r="Y23" t="str">
            <v>Odbor kultury</v>
          </cell>
        </row>
        <row r="24">
          <cell r="X24">
            <v>7400</v>
          </cell>
          <cell r="Y24" t="str">
            <v xml:space="preserve">Odbor školství, mládeže a tělovýchovy </v>
          </cell>
        </row>
        <row r="25">
          <cell r="X25">
            <v>7499</v>
          </cell>
          <cell r="Y25" t="str">
            <v xml:space="preserve">Odbor školství, mládeže a tělovýchovy </v>
          </cell>
        </row>
        <row r="26">
          <cell r="X26">
            <v>7500</v>
          </cell>
          <cell r="Y26" t="str">
            <v>Odbor památkové péče</v>
          </cell>
        </row>
        <row r="27">
          <cell r="X27">
            <v>8200</v>
          </cell>
          <cell r="Y27" t="str">
            <v>Městská policie Brno</v>
          </cell>
        </row>
        <row r="28">
          <cell r="X28">
            <v>8887</v>
          </cell>
          <cell r="Y28" t="str">
            <v>Reverse charge</v>
          </cell>
        </row>
        <row r="29">
          <cell r="X29">
            <v>0</v>
          </cell>
          <cell r="Y29" t="str">
            <v>Bez ORJ</v>
          </cell>
        </row>
      </sheetData>
      <sheetData sheetId="5" refreshError="1"/>
    </sheetDataSet>
  </externalBook>
</externalLink>
</file>

<file path=xl/tables/table1.xml><?xml version="1.0" encoding="utf-8"?>
<table xmlns="http://schemas.openxmlformats.org/spreadsheetml/2006/main" id="1" name="CN_chyby" displayName="CN_chyby" ref="Y2:AA481" totalsRowShown="0" headerRowDxfId="4" dataDxfId="3">
  <tableColumns count="3">
    <tableColumn id="1" name="ORJ - chyby v CN" dataDxfId="2">
      <calculatedColumnFormula>IF($V3=0," ",IF(LEN($B3)=4,$B3*1,$B3))</calculatedColumnFormula>
    </tableColumn>
    <tableColumn id="2" name="ORG - chyby v CN" dataDxfId="1">
      <calculatedColumnFormula>IF($Y3=" ",0,"ORG "&amp;$D3&amp;" - "&amp;$G3)</calculatedColumnFormula>
    </tableColumn>
    <tableColumn id="3" name="ORJ+§+ORG+Zdroj" dataDxfId="0">
      <calculatedColumnFormula>$B3&amp;LEFT($C3,4)&amp;$D3&amp;$E3&amp;$F3</calculatedColumnFormula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"/>
  <sheetViews>
    <sheetView showZeros="0" tabSelected="1" zoomScaleNormal="100" zoomScaleSheetLayoutView="75" workbookViewId="0">
      <selection activeCell="A39" sqref="A39"/>
    </sheetView>
  </sheetViews>
  <sheetFormatPr defaultRowHeight="12.75" x14ac:dyDescent="0.2"/>
  <cols>
    <col min="1" max="1" width="5.42578125" style="53" customWidth="1"/>
    <col min="2" max="2" width="8.140625" style="54" customWidth="1"/>
    <col min="3" max="3" width="6" style="55" customWidth="1"/>
    <col min="4" max="4" width="42.28515625" style="56" customWidth="1"/>
    <col min="5" max="5" width="17.85546875" style="57" customWidth="1"/>
    <col min="6" max="6" width="15.7109375" style="57" customWidth="1"/>
    <col min="7" max="7" width="16" style="57" customWidth="1"/>
    <col min="8" max="8" width="9.140625" style="58"/>
    <col min="9" max="9" width="9.7109375" style="58" customWidth="1"/>
    <col min="10" max="12" width="9.140625" style="27"/>
    <col min="13" max="13" width="9" style="27" customWidth="1"/>
    <col min="14" max="14" width="8.42578125" style="27" customWidth="1"/>
    <col min="15" max="16384" width="9.140625" style="27"/>
  </cols>
  <sheetData>
    <row r="1" spans="1:11" s="7" customFormat="1" ht="13.5" thickBot="1" x14ac:dyDescent="0.25">
      <c r="A1" s="1" t="s">
        <v>215</v>
      </c>
      <c r="B1" s="2" t="s">
        <v>95</v>
      </c>
      <c r="C1" s="3" t="s">
        <v>96</v>
      </c>
      <c r="D1" s="2" t="s">
        <v>97</v>
      </c>
      <c r="E1" s="4" t="s">
        <v>275</v>
      </c>
      <c r="F1" s="4" t="s">
        <v>294</v>
      </c>
      <c r="G1" s="4" t="s">
        <v>295</v>
      </c>
      <c r="H1" s="5" t="s">
        <v>98</v>
      </c>
      <c r="I1" s="6" t="s">
        <v>99</v>
      </c>
      <c r="J1" s="15"/>
      <c r="K1" s="15"/>
    </row>
    <row r="2" spans="1:11" s="15" customFormat="1" x14ac:dyDescent="0.2">
      <c r="A2" s="8">
        <v>1700</v>
      </c>
      <c r="B2" s="9" t="str">
        <f>(MID(C2,1,3))</f>
        <v>111</v>
      </c>
      <c r="C2" s="10">
        <v>1111</v>
      </c>
      <c r="D2" s="11" t="s">
        <v>100</v>
      </c>
      <c r="E2" s="12">
        <v>1690000</v>
      </c>
      <c r="F2" s="12">
        <v>1690000</v>
      </c>
      <c r="G2" s="12">
        <v>1916394</v>
      </c>
      <c r="H2" s="13">
        <f>IF(E2&lt;=0,0,$G2/E2*100)</f>
        <v>113.3960946745562</v>
      </c>
      <c r="I2" s="14">
        <f>IF(F2&lt;=0,0,$G2/F2*100)</f>
        <v>113.3960946745562</v>
      </c>
    </row>
    <row r="3" spans="1:11" s="15" customFormat="1" x14ac:dyDescent="0.2">
      <c r="A3" s="16">
        <v>1700</v>
      </c>
      <c r="B3" s="9" t="str">
        <f>(MID(C3,1,3))</f>
        <v>111</v>
      </c>
      <c r="C3" s="17">
        <v>1112</v>
      </c>
      <c r="D3" s="18" t="s">
        <v>265</v>
      </c>
      <c r="E3" s="19">
        <v>30000</v>
      </c>
      <c r="F3" s="19">
        <v>30000</v>
      </c>
      <c r="G3" s="19">
        <v>176861</v>
      </c>
      <c r="H3" s="20">
        <f>IF(E3&lt;=0,0,$G3/E3*100)</f>
        <v>589.53666666666663</v>
      </c>
      <c r="I3" s="21">
        <f>IF(F3&lt;=0,0,$G3/F3*100)</f>
        <v>589.53666666666663</v>
      </c>
    </row>
    <row r="4" spans="1:11" s="15" customFormat="1" x14ac:dyDescent="0.2">
      <c r="A4" s="16">
        <v>1700</v>
      </c>
      <c r="B4" s="9" t="str">
        <f>(MID(C4,1,3))</f>
        <v>111</v>
      </c>
      <c r="C4" s="17">
        <v>1113</v>
      </c>
      <c r="D4" s="18" t="s">
        <v>101</v>
      </c>
      <c r="E4" s="19">
        <v>180000</v>
      </c>
      <c r="F4" s="19">
        <v>180000</v>
      </c>
      <c r="G4" s="19">
        <v>191890</v>
      </c>
      <c r="H4" s="20">
        <f t="shared" ref="H4:H38" si="0">IF(E4&lt;=0,0,$G4/E4*100)</f>
        <v>106.60555555555555</v>
      </c>
      <c r="I4" s="21">
        <f t="shared" ref="I4:I38" si="1">IF(F4&lt;=0,0,$G4/F4*100)</f>
        <v>106.60555555555555</v>
      </c>
    </row>
    <row r="5" spans="1:11" s="15" customFormat="1" x14ac:dyDescent="0.2">
      <c r="A5" s="16"/>
      <c r="B5" s="22" t="s">
        <v>102</v>
      </c>
      <c r="C5" s="17"/>
      <c r="D5" s="18"/>
      <c r="E5" s="23">
        <f>SUBTOTAL(9,E2:E4)</f>
        <v>1900000</v>
      </c>
      <c r="F5" s="23">
        <f>SUBTOTAL(9,F2:F4)</f>
        <v>1900000</v>
      </c>
      <c r="G5" s="23">
        <f>SUBTOTAL(9,G2:G4)</f>
        <v>2285145</v>
      </c>
      <c r="H5" s="24">
        <f t="shared" si="0"/>
        <v>120.27078947368422</v>
      </c>
      <c r="I5" s="25">
        <f t="shared" si="1"/>
        <v>120.27078947368422</v>
      </c>
    </row>
    <row r="6" spans="1:11" s="15" customFormat="1" x14ac:dyDescent="0.2">
      <c r="A6" s="16">
        <v>1700</v>
      </c>
      <c r="B6" s="9" t="str">
        <f>(MID(C6,1,3))</f>
        <v>112</v>
      </c>
      <c r="C6" s="17">
        <v>1121</v>
      </c>
      <c r="D6" s="18" t="s">
        <v>103</v>
      </c>
      <c r="E6" s="19">
        <v>1690000</v>
      </c>
      <c r="F6" s="19">
        <v>1690000</v>
      </c>
      <c r="G6" s="19">
        <v>1982967</v>
      </c>
      <c r="H6" s="20">
        <f t="shared" si="0"/>
        <v>117.33532544378697</v>
      </c>
      <c r="I6" s="21">
        <f t="shared" si="1"/>
        <v>117.33532544378697</v>
      </c>
    </row>
    <row r="7" spans="1:11" s="15" customFormat="1" x14ac:dyDescent="0.2">
      <c r="A7" s="16">
        <v>1700</v>
      </c>
      <c r="B7" s="9" t="str">
        <f>(MID(C7,1,3))</f>
        <v>112</v>
      </c>
      <c r="C7" s="17">
        <v>1122</v>
      </c>
      <c r="D7" s="18" t="s">
        <v>104</v>
      </c>
      <c r="E7" s="19">
        <v>350000</v>
      </c>
      <c r="F7" s="19">
        <v>159064</v>
      </c>
      <c r="G7" s="19">
        <v>159064</v>
      </c>
      <c r="H7" s="20">
        <f>IF(E7&lt;=0,0,$G7/E7*100)</f>
        <v>45.446857142857141</v>
      </c>
      <c r="I7" s="21">
        <f>IF(F7&lt;=0,0,$G7/F7*100)</f>
        <v>100</v>
      </c>
      <c r="J7" s="27"/>
      <c r="K7" s="27"/>
    </row>
    <row r="8" spans="1:11" s="15" customFormat="1" x14ac:dyDescent="0.2">
      <c r="A8" s="16">
        <v>3200</v>
      </c>
      <c r="B8" s="9" t="str">
        <f>(MID(C8,1,3))</f>
        <v>112</v>
      </c>
      <c r="C8" s="17">
        <v>1122</v>
      </c>
      <c r="D8" s="18" t="s">
        <v>104</v>
      </c>
      <c r="E8" s="19"/>
      <c r="F8" s="19">
        <v>62</v>
      </c>
      <c r="G8" s="19">
        <v>62</v>
      </c>
      <c r="H8" s="20">
        <f>IF(E8&lt;=0,0,$G8/E8*100)</f>
        <v>0</v>
      </c>
      <c r="I8" s="21">
        <f>IF(F8&lt;=0,0,$G8/F8*100)</f>
        <v>100</v>
      </c>
      <c r="J8" s="27"/>
      <c r="K8" s="27"/>
    </row>
    <row r="9" spans="1:11" x14ac:dyDescent="0.2">
      <c r="A9" s="16"/>
      <c r="B9" s="26" t="s">
        <v>105</v>
      </c>
      <c r="C9" s="17"/>
      <c r="D9" s="18"/>
      <c r="E9" s="23">
        <f>SUBTOTAL(9,E6:E8)</f>
        <v>2040000</v>
      </c>
      <c r="F9" s="23">
        <f>SUBTOTAL(9,F6:F8)</f>
        <v>1849126</v>
      </c>
      <c r="G9" s="23">
        <f>SUBTOTAL(9,G6:G8)</f>
        <v>2142093</v>
      </c>
      <c r="H9" s="24">
        <f t="shared" si="0"/>
        <v>105.00455882352941</v>
      </c>
      <c r="I9" s="25">
        <f t="shared" si="1"/>
        <v>115.84353905574849</v>
      </c>
    </row>
    <row r="10" spans="1:11" x14ac:dyDescent="0.2">
      <c r="A10" s="16">
        <v>1700</v>
      </c>
      <c r="B10" s="9" t="str">
        <f>(MID(C10,1,3))</f>
        <v>121</v>
      </c>
      <c r="C10" s="17">
        <v>1211</v>
      </c>
      <c r="D10" s="18" t="s">
        <v>106</v>
      </c>
      <c r="E10" s="19">
        <v>3380000</v>
      </c>
      <c r="F10" s="19">
        <v>3380000</v>
      </c>
      <c r="G10" s="19">
        <v>3634101</v>
      </c>
      <c r="H10" s="20">
        <f t="shared" si="0"/>
        <v>107.51778106508876</v>
      </c>
      <c r="I10" s="21">
        <f t="shared" si="1"/>
        <v>107.51778106508876</v>
      </c>
    </row>
    <row r="11" spans="1:11" x14ac:dyDescent="0.2">
      <c r="A11" s="16"/>
      <c r="B11" s="26" t="s">
        <v>107</v>
      </c>
      <c r="C11" s="17"/>
      <c r="D11" s="18"/>
      <c r="E11" s="23">
        <f>SUBTOTAL(9,E10:E10)</f>
        <v>3380000</v>
      </c>
      <c r="F11" s="23">
        <f>SUBTOTAL(9,F10:F10)</f>
        <v>3380000</v>
      </c>
      <c r="G11" s="23">
        <f>SUBTOTAL(9,G10:G10)</f>
        <v>3634101</v>
      </c>
      <c r="H11" s="24">
        <f t="shared" si="0"/>
        <v>107.51778106508876</v>
      </c>
      <c r="I11" s="25">
        <f t="shared" si="1"/>
        <v>107.51778106508876</v>
      </c>
    </row>
    <row r="12" spans="1:11" x14ac:dyDescent="0.2">
      <c r="A12" s="28">
        <v>4300</v>
      </c>
      <c r="B12" s="9" t="str">
        <f>(MID(C12,1,3))</f>
        <v>133</v>
      </c>
      <c r="C12" s="29">
        <v>1334</v>
      </c>
      <c r="D12" s="30" t="s">
        <v>108</v>
      </c>
      <c r="E12" s="31">
        <v>300</v>
      </c>
      <c r="F12" s="31">
        <v>300</v>
      </c>
      <c r="G12" s="31">
        <v>816</v>
      </c>
      <c r="H12" s="32">
        <f t="shared" si="0"/>
        <v>272</v>
      </c>
      <c r="I12" s="33">
        <f t="shared" si="1"/>
        <v>272</v>
      </c>
      <c r="J12" s="15"/>
      <c r="K12" s="15"/>
    </row>
    <row r="13" spans="1:11" s="15" customFormat="1" x14ac:dyDescent="0.2">
      <c r="A13" s="28">
        <v>4300</v>
      </c>
      <c r="B13" s="9" t="str">
        <f>(MID(C13,1,3))</f>
        <v>133</v>
      </c>
      <c r="C13" s="29">
        <v>1335</v>
      </c>
      <c r="D13" s="30" t="s">
        <v>109</v>
      </c>
      <c r="E13" s="31">
        <v>20</v>
      </c>
      <c r="F13" s="31">
        <v>20</v>
      </c>
      <c r="G13" s="31">
        <v>55</v>
      </c>
      <c r="H13" s="32">
        <f t="shared" si="0"/>
        <v>275</v>
      </c>
      <c r="I13" s="33">
        <f t="shared" si="1"/>
        <v>275</v>
      </c>
    </row>
    <row r="14" spans="1:11" s="15" customFormat="1" x14ac:dyDescent="0.2">
      <c r="A14" s="16">
        <v>4200</v>
      </c>
      <c r="B14" s="9" t="str">
        <f>(MID(C14,1,3))</f>
        <v>133</v>
      </c>
      <c r="C14" s="17">
        <v>1339</v>
      </c>
      <c r="D14" s="18" t="s">
        <v>207</v>
      </c>
      <c r="E14" s="19">
        <v>113</v>
      </c>
      <c r="F14" s="19">
        <v>113</v>
      </c>
      <c r="G14" s="19">
        <v>145</v>
      </c>
      <c r="H14" s="34">
        <f t="shared" si="0"/>
        <v>128.31858407079645</v>
      </c>
      <c r="I14" s="35">
        <f t="shared" si="1"/>
        <v>128.31858407079645</v>
      </c>
    </row>
    <row r="15" spans="1:11" s="15" customFormat="1" x14ac:dyDescent="0.2">
      <c r="A15" s="16"/>
      <c r="B15" s="26" t="s">
        <v>110</v>
      </c>
      <c r="C15" s="17"/>
      <c r="D15" s="18"/>
      <c r="E15" s="23">
        <f>SUBTOTAL(9,E12:E14)</f>
        <v>433</v>
      </c>
      <c r="F15" s="23">
        <f>SUBTOTAL(9,F12:F14)</f>
        <v>433</v>
      </c>
      <c r="G15" s="23">
        <f>SUBTOTAL(9,G12:G14)</f>
        <v>1016</v>
      </c>
      <c r="H15" s="24">
        <f t="shared" si="0"/>
        <v>234.64203233256347</v>
      </c>
      <c r="I15" s="25">
        <f t="shared" si="1"/>
        <v>234.64203233256347</v>
      </c>
    </row>
    <row r="16" spans="1:11" s="15" customFormat="1" x14ac:dyDescent="0.2">
      <c r="A16" s="16">
        <v>4200</v>
      </c>
      <c r="B16" s="9" t="str">
        <f>(MID(C16,1,3))</f>
        <v>134</v>
      </c>
      <c r="C16" s="17">
        <v>1340</v>
      </c>
      <c r="D16" s="18" t="s">
        <v>212</v>
      </c>
      <c r="E16" s="19">
        <v>216359</v>
      </c>
      <c r="F16" s="19">
        <v>216359</v>
      </c>
      <c r="G16" s="19">
        <v>239263</v>
      </c>
      <c r="H16" s="34">
        <f>IF(E16&lt;=0,0,$G16/E16*100)</f>
        <v>110.58610919813827</v>
      </c>
      <c r="I16" s="35">
        <f>IF(F16&lt;=0,0,$G16/F16*100)</f>
        <v>110.58610919813827</v>
      </c>
      <c r="J16" s="36"/>
      <c r="K16" s="36"/>
    </row>
    <row r="17" spans="1:11" s="36" customFormat="1" x14ac:dyDescent="0.2">
      <c r="A17" s="28">
        <v>5400</v>
      </c>
      <c r="B17" s="9" t="str">
        <f>(MID(C17,1,3))</f>
        <v>134</v>
      </c>
      <c r="C17" s="29">
        <v>1346</v>
      </c>
      <c r="D17" s="30" t="s">
        <v>111</v>
      </c>
      <c r="E17" s="31">
        <v>4000</v>
      </c>
      <c r="F17" s="31">
        <v>4000</v>
      </c>
      <c r="G17" s="31">
        <v>3042</v>
      </c>
      <c r="H17" s="32">
        <f t="shared" si="0"/>
        <v>76.05</v>
      </c>
      <c r="I17" s="33">
        <f t="shared" si="1"/>
        <v>76.05</v>
      </c>
    </row>
    <row r="18" spans="1:11" s="36" customFormat="1" x14ac:dyDescent="0.2">
      <c r="A18" s="28"/>
      <c r="B18" s="26" t="s">
        <v>164</v>
      </c>
      <c r="C18" s="29"/>
      <c r="D18" s="30"/>
      <c r="E18" s="23">
        <f>SUBTOTAL(9,E16:E17)</f>
        <v>220359</v>
      </c>
      <c r="F18" s="23">
        <f>SUBTOTAL(9,F16:F17)</f>
        <v>220359</v>
      </c>
      <c r="G18" s="23">
        <f>SUBTOTAL(9,G16:G17)</f>
        <v>242305</v>
      </c>
      <c r="H18" s="24">
        <f t="shared" si="0"/>
        <v>109.95920293702548</v>
      </c>
      <c r="I18" s="25">
        <f t="shared" si="1"/>
        <v>109.95920293702548</v>
      </c>
    </row>
    <row r="19" spans="1:11" s="36" customFormat="1" x14ac:dyDescent="0.2">
      <c r="A19" s="28">
        <v>1700</v>
      </c>
      <c r="B19" s="9" t="str">
        <f>(MID(C19,1,3))</f>
        <v>135</v>
      </c>
      <c r="C19" s="29">
        <v>1351</v>
      </c>
      <c r="D19" s="30" t="s">
        <v>218</v>
      </c>
      <c r="E19" s="31">
        <v>25000</v>
      </c>
      <c r="F19" s="31">
        <v>25000</v>
      </c>
      <c r="G19" s="31">
        <v>37200</v>
      </c>
      <c r="H19" s="32">
        <f t="shared" ref="H19:I21" si="2">IF(E19&lt;=0,0,$G19/E19*100)</f>
        <v>148.80000000000001</v>
      </c>
      <c r="I19" s="33">
        <f t="shared" si="2"/>
        <v>148.80000000000001</v>
      </c>
      <c r="J19" s="332"/>
    </row>
    <row r="20" spans="1:11" s="36" customFormat="1" x14ac:dyDescent="0.2">
      <c r="A20" s="28">
        <v>5800</v>
      </c>
      <c r="B20" s="9" t="str">
        <f>(MID(C20,1,3))</f>
        <v>135</v>
      </c>
      <c r="C20" s="29">
        <v>1353</v>
      </c>
      <c r="D20" s="30" t="s">
        <v>167</v>
      </c>
      <c r="E20" s="31">
        <v>5000</v>
      </c>
      <c r="F20" s="31">
        <v>5000</v>
      </c>
      <c r="G20" s="31">
        <v>3824</v>
      </c>
      <c r="H20" s="32">
        <f t="shared" si="2"/>
        <v>76.48</v>
      </c>
      <c r="I20" s="33">
        <f t="shared" si="2"/>
        <v>76.48</v>
      </c>
    </row>
    <row r="21" spans="1:11" s="36" customFormat="1" x14ac:dyDescent="0.2">
      <c r="A21" s="28">
        <v>1700</v>
      </c>
      <c r="B21" s="9" t="str">
        <f>(MID(C21,1,3))</f>
        <v>135</v>
      </c>
      <c r="C21" s="29">
        <v>1355</v>
      </c>
      <c r="D21" s="30" t="s">
        <v>217</v>
      </c>
      <c r="E21" s="31">
        <v>40000</v>
      </c>
      <c r="F21" s="31">
        <v>40000</v>
      </c>
      <c r="G21" s="31">
        <v>20739</v>
      </c>
      <c r="H21" s="32">
        <f t="shared" si="2"/>
        <v>51.847500000000004</v>
      </c>
      <c r="I21" s="33">
        <f t="shared" si="2"/>
        <v>51.847500000000004</v>
      </c>
      <c r="J21" s="332"/>
    </row>
    <row r="22" spans="1:11" s="36" customFormat="1" x14ac:dyDescent="0.2">
      <c r="A22" s="28">
        <v>5800</v>
      </c>
      <c r="B22" s="9" t="str">
        <f>(MID(C22,1,3))</f>
        <v>135</v>
      </c>
      <c r="C22" s="29">
        <v>1359</v>
      </c>
      <c r="D22" s="30" t="s">
        <v>194</v>
      </c>
      <c r="E22" s="31"/>
      <c r="F22" s="31"/>
      <c r="G22" s="31">
        <v>-312</v>
      </c>
      <c r="H22" s="32"/>
      <c r="I22" s="33"/>
    </row>
    <row r="23" spans="1:11" s="36" customFormat="1" x14ac:dyDescent="0.2">
      <c r="A23" s="28"/>
      <c r="B23" s="26" t="s">
        <v>168</v>
      </c>
      <c r="C23" s="29"/>
      <c r="D23" s="30"/>
      <c r="E23" s="23">
        <f>SUBTOTAL(9,E19:E22)</f>
        <v>70000</v>
      </c>
      <c r="F23" s="23">
        <f>SUBTOTAL(9,F19:F22)</f>
        <v>70000</v>
      </c>
      <c r="G23" s="23">
        <f>SUBTOTAL(9,G19:G22)</f>
        <v>61451</v>
      </c>
      <c r="H23" s="24">
        <f>IF(E23&lt;=0,0,$G23/E23*100)</f>
        <v>87.787142857142854</v>
      </c>
      <c r="I23" s="25">
        <f>IF(F23&lt;=0,0,$G23/F23*100)</f>
        <v>87.787142857142854</v>
      </c>
      <c r="J23" s="27"/>
      <c r="K23" s="27"/>
    </row>
    <row r="24" spans="1:11" x14ac:dyDescent="0.2">
      <c r="A24" s="16">
        <v>1700</v>
      </c>
      <c r="B24" s="9" t="str">
        <f t="shared" ref="B24:B31" si="3">(MID(C24,1,3))</f>
        <v>136</v>
      </c>
      <c r="C24" s="17">
        <v>1361</v>
      </c>
      <c r="D24" s="18" t="s">
        <v>112</v>
      </c>
      <c r="E24" s="19">
        <v>20</v>
      </c>
      <c r="F24" s="19">
        <v>20</v>
      </c>
      <c r="G24" s="19">
        <v>17</v>
      </c>
      <c r="H24" s="34">
        <f t="shared" si="0"/>
        <v>85</v>
      </c>
      <c r="I24" s="35">
        <f t="shared" si="1"/>
        <v>85</v>
      </c>
      <c r="J24" s="36"/>
      <c r="K24" s="36"/>
    </row>
    <row r="25" spans="1:11" s="36" customFormat="1" x14ac:dyDescent="0.2">
      <c r="A25" s="16">
        <v>3200</v>
      </c>
      <c r="B25" s="9" t="str">
        <f t="shared" si="3"/>
        <v>136</v>
      </c>
      <c r="C25" s="17">
        <v>1361</v>
      </c>
      <c r="D25" s="37" t="s">
        <v>112</v>
      </c>
      <c r="E25" s="19">
        <v>620</v>
      </c>
      <c r="F25" s="19">
        <v>620</v>
      </c>
      <c r="G25" s="19">
        <v>514</v>
      </c>
      <c r="H25" s="34">
        <f t="shared" ref="H25:I29" si="4">IF(E25&lt;=0,0,$G25/E25*100)</f>
        <v>82.903225806451601</v>
      </c>
      <c r="I25" s="35">
        <f t="shared" si="4"/>
        <v>82.903225806451601</v>
      </c>
    </row>
    <row r="26" spans="1:11" s="36" customFormat="1" x14ac:dyDescent="0.2">
      <c r="A26" s="16">
        <v>3800</v>
      </c>
      <c r="B26" s="9" t="str">
        <f t="shared" si="3"/>
        <v>136</v>
      </c>
      <c r="C26" s="17">
        <v>1361</v>
      </c>
      <c r="D26" s="37" t="s">
        <v>112</v>
      </c>
      <c r="E26" s="19">
        <v>14650</v>
      </c>
      <c r="F26" s="19">
        <v>14650</v>
      </c>
      <c r="G26" s="19">
        <v>18851</v>
      </c>
      <c r="H26" s="34">
        <f t="shared" si="4"/>
        <v>128.67576791808875</v>
      </c>
      <c r="I26" s="35">
        <f t="shared" si="4"/>
        <v>128.67576791808875</v>
      </c>
      <c r="J26" s="331"/>
      <c r="K26" s="27"/>
    </row>
    <row r="27" spans="1:11" x14ac:dyDescent="0.2">
      <c r="A27" s="16">
        <v>3900</v>
      </c>
      <c r="B27" s="9" t="str">
        <f>(MID(C27,1,3))</f>
        <v>136</v>
      </c>
      <c r="C27" s="17">
        <v>1361</v>
      </c>
      <c r="D27" s="37" t="s">
        <v>112</v>
      </c>
      <c r="E27" s="38">
        <v>5</v>
      </c>
      <c r="F27" s="38">
        <v>5</v>
      </c>
      <c r="G27" s="38">
        <v>1</v>
      </c>
      <c r="H27" s="34">
        <f t="shared" si="4"/>
        <v>20</v>
      </c>
      <c r="I27" s="35">
        <f t="shared" si="4"/>
        <v>20</v>
      </c>
    </row>
    <row r="28" spans="1:11" x14ac:dyDescent="0.2">
      <c r="A28" s="16">
        <v>4100</v>
      </c>
      <c r="B28" s="9" t="str">
        <f>(MID(C28,1,3))</f>
        <v>136</v>
      </c>
      <c r="C28" s="17">
        <v>1361</v>
      </c>
      <c r="D28" s="37" t="s">
        <v>112</v>
      </c>
      <c r="E28" s="38"/>
      <c r="F28" s="38"/>
      <c r="G28" s="38">
        <v>1</v>
      </c>
      <c r="H28" s="34"/>
      <c r="I28" s="35"/>
    </row>
    <row r="29" spans="1:11" x14ac:dyDescent="0.2">
      <c r="A29" s="16">
        <v>4200</v>
      </c>
      <c r="B29" s="9" t="str">
        <f t="shared" si="3"/>
        <v>136</v>
      </c>
      <c r="C29" s="17">
        <v>1361</v>
      </c>
      <c r="D29" s="18" t="s">
        <v>112</v>
      </c>
      <c r="E29" s="19">
        <v>5</v>
      </c>
      <c r="F29" s="19">
        <v>5</v>
      </c>
      <c r="G29" s="19">
        <v>2</v>
      </c>
      <c r="H29" s="34">
        <f t="shared" si="4"/>
        <v>40</v>
      </c>
      <c r="I29" s="35">
        <f t="shared" si="4"/>
        <v>40</v>
      </c>
    </row>
    <row r="30" spans="1:11" x14ac:dyDescent="0.2">
      <c r="A30" s="28">
        <v>4300</v>
      </c>
      <c r="B30" s="9" t="str">
        <f t="shared" si="3"/>
        <v>136</v>
      </c>
      <c r="C30" s="29">
        <v>1361</v>
      </c>
      <c r="D30" s="30" t="s">
        <v>112</v>
      </c>
      <c r="E30" s="31">
        <v>300</v>
      </c>
      <c r="F30" s="31">
        <v>300</v>
      </c>
      <c r="G30" s="31">
        <v>345</v>
      </c>
      <c r="H30" s="32">
        <f t="shared" si="0"/>
        <v>114.99999999999999</v>
      </c>
      <c r="I30" s="33">
        <f t="shared" si="1"/>
        <v>114.99999999999999</v>
      </c>
    </row>
    <row r="31" spans="1:11" x14ac:dyDescent="0.2">
      <c r="A31" s="28">
        <v>5400</v>
      </c>
      <c r="B31" s="9" t="str">
        <f t="shared" si="3"/>
        <v>136</v>
      </c>
      <c r="C31" s="29">
        <v>1361</v>
      </c>
      <c r="D31" s="30" t="s">
        <v>112</v>
      </c>
      <c r="E31" s="31">
        <v>750</v>
      </c>
      <c r="F31" s="31">
        <v>750</v>
      </c>
      <c r="G31" s="31">
        <v>687</v>
      </c>
      <c r="H31" s="32">
        <f t="shared" si="0"/>
        <v>91.600000000000009</v>
      </c>
      <c r="I31" s="33">
        <f t="shared" si="1"/>
        <v>91.600000000000009</v>
      </c>
    </row>
    <row r="32" spans="1:11" x14ac:dyDescent="0.2">
      <c r="A32" s="28">
        <v>5800</v>
      </c>
      <c r="B32" s="11">
        <v>136</v>
      </c>
      <c r="C32" s="29">
        <v>1361</v>
      </c>
      <c r="D32" s="30" t="s">
        <v>112</v>
      </c>
      <c r="E32" s="31">
        <v>45000</v>
      </c>
      <c r="F32" s="31">
        <v>45000</v>
      </c>
      <c r="G32" s="31">
        <v>50837</v>
      </c>
      <c r="H32" s="32">
        <f t="shared" si="0"/>
        <v>112.97111111111111</v>
      </c>
      <c r="I32" s="33">
        <f t="shared" si="1"/>
        <v>112.97111111111111</v>
      </c>
    </row>
    <row r="33" spans="1:11" x14ac:dyDescent="0.2">
      <c r="A33" s="28">
        <v>6500</v>
      </c>
      <c r="B33" s="11">
        <v>136</v>
      </c>
      <c r="C33" s="29">
        <v>1361</v>
      </c>
      <c r="D33" s="30" t="s">
        <v>112</v>
      </c>
      <c r="E33" s="31">
        <v>5875</v>
      </c>
      <c r="F33" s="31">
        <v>5875</v>
      </c>
      <c r="G33" s="31">
        <v>6982</v>
      </c>
      <c r="H33" s="32">
        <f>IF(E33&lt;=0,0,$G33/E33*100)</f>
        <v>118.84255319148936</v>
      </c>
      <c r="I33" s="33">
        <f>IF(F33&lt;=0,0,$G33/F33*100)</f>
        <v>118.84255319148936</v>
      </c>
      <c r="J33" s="331"/>
    </row>
    <row r="34" spans="1:11" x14ac:dyDescent="0.2">
      <c r="A34" s="28">
        <v>7100</v>
      </c>
      <c r="B34" s="11">
        <v>136</v>
      </c>
      <c r="C34" s="29">
        <v>1361</v>
      </c>
      <c r="D34" s="30" t="s">
        <v>112</v>
      </c>
      <c r="E34" s="31">
        <v>2</v>
      </c>
      <c r="F34" s="31">
        <v>2</v>
      </c>
      <c r="G34" s="31">
        <v>2</v>
      </c>
      <c r="H34" s="32">
        <f>IF(E34&lt;=0,0,$G34/E34*100)</f>
        <v>100</v>
      </c>
      <c r="I34" s="33">
        <f>IF(F34&lt;=0,0,$G34/F34*100)</f>
        <v>100</v>
      </c>
    </row>
    <row r="35" spans="1:11" x14ac:dyDescent="0.2">
      <c r="A35" s="16"/>
      <c r="B35" s="26" t="s">
        <v>113</v>
      </c>
      <c r="C35" s="17"/>
      <c r="D35" s="37"/>
      <c r="E35" s="23">
        <f>SUBTOTAL(9,E24:E34)</f>
        <v>67227</v>
      </c>
      <c r="F35" s="23">
        <f>SUBTOTAL(9,F24:F34)</f>
        <v>67227</v>
      </c>
      <c r="G35" s="23">
        <f>SUBTOTAL(9,G24:G34)</f>
        <v>78239</v>
      </c>
      <c r="H35" s="24">
        <f t="shared" si="0"/>
        <v>116.38032338197451</v>
      </c>
      <c r="I35" s="25">
        <f t="shared" si="1"/>
        <v>116.38032338197451</v>
      </c>
    </row>
    <row r="36" spans="1:11" x14ac:dyDescent="0.2">
      <c r="A36" s="16">
        <v>1700</v>
      </c>
      <c r="B36" s="9" t="str">
        <f>(MID(C36,1,3))</f>
        <v>151</v>
      </c>
      <c r="C36" s="17">
        <v>1511</v>
      </c>
      <c r="D36" s="18" t="s">
        <v>235</v>
      </c>
      <c r="E36" s="19">
        <v>230000</v>
      </c>
      <c r="F36" s="19">
        <v>230000</v>
      </c>
      <c r="G36" s="19">
        <v>240148</v>
      </c>
      <c r="H36" s="20">
        <f t="shared" si="0"/>
        <v>104.41217391304347</v>
      </c>
      <c r="I36" s="21">
        <f t="shared" si="1"/>
        <v>104.41217391304347</v>
      </c>
    </row>
    <row r="37" spans="1:11" ht="13.5" thickBot="1" x14ac:dyDescent="0.25">
      <c r="A37" s="39"/>
      <c r="B37" s="40" t="s">
        <v>114</v>
      </c>
      <c r="C37" s="41"/>
      <c r="D37" s="42"/>
      <c r="E37" s="43">
        <f>SUBTOTAL(9,E36:E36)</f>
        <v>230000</v>
      </c>
      <c r="F37" s="43">
        <f>SUBTOTAL(9,F36:F36)</f>
        <v>230000</v>
      </c>
      <c r="G37" s="43">
        <f>SUBTOTAL(9,G36:G36)</f>
        <v>240148</v>
      </c>
      <c r="H37" s="44">
        <f t="shared" si="0"/>
        <v>104.41217391304347</v>
      </c>
      <c r="I37" s="45">
        <f t="shared" si="1"/>
        <v>104.41217391304347</v>
      </c>
    </row>
    <row r="38" spans="1:11" ht="15.75" thickBot="1" x14ac:dyDescent="0.3">
      <c r="A38" s="46"/>
      <c r="B38" s="47" t="s">
        <v>115</v>
      </c>
      <c r="C38" s="48"/>
      <c r="D38" s="49"/>
      <c r="E38" s="326">
        <f>SUBTOTAL(9,E2:E36)</f>
        <v>7908019</v>
      </c>
      <c r="F38" s="326">
        <f>SUBTOTAL(9,F2:F36)</f>
        <v>7717145</v>
      </c>
      <c r="G38" s="50">
        <f>SUBTOTAL(9,G2:G36)</f>
        <v>8684498</v>
      </c>
      <c r="H38" s="51">
        <f t="shared" si="0"/>
        <v>109.81888131528264</v>
      </c>
      <c r="I38" s="52">
        <f t="shared" si="1"/>
        <v>112.53511499395177</v>
      </c>
      <c r="J38" s="15"/>
      <c r="K38" s="15"/>
    </row>
  </sheetData>
  <phoneticPr fontId="0" type="noConversion"/>
  <printOptions horizontalCentered="1" verticalCentered="1"/>
  <pageMargins left="0" right="0" top="0.86614173228346458" bottom="0.62992125984251968" header="0.59055118110236227" footer="0.51181102362204722"/>
  <pageSetup paperSize="9" orientation="landscape" r:id="rId1"/>
  <headerFooter alignWithMargins="0">
    <oddHeader>&amp;C&amp;"Calibri Light,Obyčejné"&amp;12Plnění rozpočtu daňových příjmů města k 31.12.2016 (v tis. Kč)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0"/>
  <sheetViews>
    <sheetView showZeros="0" zoomScaleNormal="100" zoomScaleSheetLayoutView="100" workbookViewId="0">
      <pane xSplit="5" ySplit="1" topLeftCell="G191" activePane="bottomRight" state="frozenSplit"/>
      <selection activeCell="H14" sqref="H14"/>
      <selection pane="topRight" activeCell="H14" sqref="H14"/>
      <selection pane="bottomLeft" activeCell="H14" sqref="H14"/>
      <selection pane="bottomRight" activeCell="I163" sqref="I163"/>
    </sheetView>
  </sheetViews>
  <sheetFormatPr defaultRowHeight="12.75" x14ac:dyDescent="0.2"/>
  <cols>
    <col min="1" max="1" width="5.42578125" style="53" customWidth="1"/>
    <col min="2" max="2" width="4.85546875" style="55" customWidth="1"/>
    <col min="3" max="3" width="43.28515625" style="54" customWidth="1"/>
    <col min="4" max="4" width="7.42578125" style="54" bestFit="1" customWidth="1"/>
    <col min="5" max="5" width="4.7109375" style="55" customWidth="1"/>
    <col min="6" max="6" width="39.7109375" style="56" customWidth="1"/>
    <col min="7" max="7" width="10.140625" style="57" customWidth="1"/>
    <col min="8" max="8" width="13.85546875" style="57" bestFit="1" customWidth="1"/>
    <col min="9" max="9" width="15.5703125" style="57" customWidth="1"/>
    <col min="10" max="10" width="6.85546875" style="58" bestFit="1" customWidth="1"/>
    <col min="11" max="11" width="7.85546875" style="58" bestFit="1" customWidth="1"/>
    <col min="12" max="12" width="8.85546875" style="27" customWidth="1"/>
    <col min="13" max="16384" width="9.140625" style="27"/>
  </cols>
  <sheetData>
    <row r="1" spans="1:12" s="7" customFormat="1" ht="13.5" thickBot="1" x14ac:dyDescent="0.25">
      <c r="A1" s="1" t="s">
        <v>215</v>
      </c>
      <c r="B1" s="3" t="s">
        <v>0</v>
      </c>
      <c r="C1" s="2" t="s">
        <v>116</v>
      </c>
      <c r="D1" s="2" t="s">
        <v>95</v>
      </c>
      <c r="E1" s="3" t="s">
        <v>96</v>
      </c>
      <c r="F1" s="2" t="s">
        <v>97</v>
      </c>
      <c r="G1" s="4" t="s">
        <v>275</v>
      </c>
      <c r="H1" s="4" t="s">
        <v>294</v>
      </c>
      <c r="I1" s="4" t="s">
        <v>295</v>
      </c>
      <c r="J1" s="5" t="s">
        <v>98</v>
      </c>
      <c r="K1" s="6" t="s">
        <v>99</v>
      </c>
    </row>
    <row r="2" spans="1:12" s="7" customFormat="1" x14ac:dyDescent="0.2">
      <c r="A2" s="59" t="s">
        <v>117</v>
      </c>
      <c r="B2" s="60"/>
      <c r="C2" s="61"/>
      <c r="D2" s="61"/>
      <c r="E2" s="60"/>
      <c r="F2" s="61"/>
      <c r="G2" s="62"/>
      <c r="H2" s="62"/>
      <c r="I2" s="62"/>
      <c r="J2" s="13">
        <f t="shared" ref="J2:K4" si="0">IF(G2&lt;=0,0,$I2/G2*100)</f>
        <v>0</v>
      </c>
      <c r="K2" s="14">
        <f t="shared" si="0"/>
        <v>0</v>
      </c>
    </row>
    <row r="3" spans="1:12" s="7" customFormat="1" x14ac:dyDescent="0.2">
      <c r="A3" s="8">
        <v>3200</v>
      </c>
      <c r="B3" s="10">
        <v>6171</v>
      </c>
      <c r="C3" s="63" t="s">
        <v>9</v>
      </c>
      <c r="D3" s="9" t="str">
        <f>(MID(E3,1,3))</f>
        <v>211</v>
      </c>
      <c r="E3" s="10">
        <v>2111</v>
      </c>
      <c r="F3" s="64" t="s">
        <v>118</v>
      </c>
      <c r="G3" s="291">
        <v>3</v>
      </c>
      <c r="H3" s="291">
        <v>3</v>
      </c>
      <c r="I3" s="12"/>
      <c r="J3" s="34">
        <f t="shared" si="0"/>
        <v>0</v>
      </c>
      <c r="K3" s="35">
        <f t="shared" si="0"/>
        <v>0</v>
      </c>
    </row>
    <row r="4" spans="1:12" x14ac:dyDescent="0.2">
      <c r="A4" s="16">
        <v>3900</v>
      </c>
      <c r="B4" s="17">
        <v>6211</v>
      </c>
      <c r="C4" s="65" t="s">
        <v>53</v>
      </c>
      <c r="D4" s="9" t="str">
        <f>(MID(E4,1,3))</f>
        <v>211</v>
      </c>
      <c r="E4" s="17">
        <v>2111</v>
      </c>
      <c r="F4" s="64" t="s">
        <v>118</v>
      </c>
      <c r="G4" s="292">
        <v>30</v>
      </c>
      <c r="H4" s="292">
        <v>30</v>
      </c>
      <c r="I4" s="38">
        <v>22</v>
      </c>
      <c r="J4" s="34">
        <f t="shared" si="0"/>
        <v>73.333333333333329</v>
      </c>
      <c r="K4" s="35">
        <f t="shared" si="0"/>
        <v>73.333333333333329</v>
      </c>
    </row>
    <row r="5" spans="1:12" x14ac:dyDescent="0.2">
      <c r="A5" s="16">
        <v>4200</v>
      </c>
      <c r="B5" s="17">
        <v>3632</v>
      </c>
      <c r="C5" s="63" t="s">
        <v>1</v>
      </c>
      <c r="D5" s="9" t="str">
        <f t="shared" ref="D5:D14" si="1">(MID(E5,1,3))</f>
        <v>211</v>
      </c>
      <c r="E5" s="10">
        <v>2111</v>
      </c>
      <c r="F5" s="64" t="s">
        <v>118</v>
      </c>
      <c r="G5" s="293">
        <v>11000</v>
      </c>
      <c r="H5" s="293">
        <v>11000</v>
      </c>
      <c r="I5" s="19">
        <v>12611</v>
      </c>
      <c r="J5" s="34">
        <f t="shared" ref="J5:J14" si="2">IF(G5&lt;=0,0,$I5/G5*100)</f>
        <v>114.64545454545454</v>
      </c>
      <c r="K5" s="35">
        <f t="shared" ref="K5:K14" si="3">IF(H5&lt;=0,0,$I5/H5*100)</f>
        <v>114.64545454545454</v>
      </c>
    </row>
    <row r="6" spans="1:12" x14ac:dyDescent="0.2">
      <c r="A6" s="16">
        <v>5300</v>
      </c>
      <c r="B6" s="17">
        <v>6171</v>
      </c>
      <c r="C6" s="63" t="s">
        <v>9</v>
      </c>
      <c r="D6" s="9" t="str">
        <f t="shared" si="1"/>
        <v>211</v>
      </c>
      <c r="E6" s="10">
        <v>2111</v>
      </c>
      <c r="F6" s="64" t="s">
        <v>118</v>
      </c>
      <c r="G6" s="293">
        <v>1</v>
      </c>
      <c r="H6" s="293">
        <v>1</v>
      </c>
      <c r="I6" s="66">
        <v>5</v>
      </c>
      <c r="J6" s="34">
        <f t="shared" si="2"/>
        <v>500</v>
      </c>
      <c r="K6" s="35">
        <f t="shared" si="3"/>
        <v>500</v>
      </c>
    </row>
    <row r="7" spans="1:12" x14ac:dyDescent="0.2">
      <c r="A7" s="16">
        <v>5400</v>
      </c>
      <c r="B7" s="17">
        <v>2219</v>
      </c>
      <c r="C7" s="67" t="s">
        <v>50</v>
      </c>
      <c r="D7" s="9" t="str">
        <f>(MID(E7,1,3))</f>
        <v>211</v>
      </c>
      <c r="E7" s="10">
        <v>2111</v>
      </c>
      <c r="F7" s="64" t="s">
        <v>118</v>
      </c>
      <c r="G7" s="293">
        <v>45000</v>
      </c>
      <c r="H7" s="293">
        <v>45000</v>
      </c>
      <c r="I7" s="66">
        <v>53796</v>
      </c>
      <c r="J7" s="34">
        <f t="shared" si="2"/>
        <v>119.54666666666667</v>
      </c>
      <c r="K7" s="35">
        <f t="shared" si="3"/>
        <v>119.54666666666667</v>
      </c>
      <c r="L7" s="331"/>
    </row>
    <row r="8" spans="1:12" x14ac:dyDescent="0.2">
      <c r="A8" s="16">
        <v>6600</v>
      </c>
      <c r="B8" s="17">
        <v>3612</v>
      </c>
      <c r="C8" s="68" t="s">
        <v>11</v>
      </c>
      <c r="D8" s="9" t="str">
        <f>(MID(E8,1,3))</f>
        <v>211</v>
      </c>
      <c r="E8" s="10">
        <v>2111</v>
      </c>
      <c r="F8" s="64" t="s">
        <v>118</v>
      </c>
      <c r="G8" s="293">
        <v>1300</v>
      </c>
      <c r="H8" s="293">
        <v>1300</v>
      </c>
      <c r="I8" s="66">
        <v>1190</v>
      </c>
      <c r="J8" s="34">
        <f t="shared" si="2"/>
        <v>91.538461538461533</v>
      </c>
      <c r="K8" s="35">
        <f t="shared" si="3"/>
        <v>91.538461538461533</v>
      </c>
    </row>
    <row r="9" spans="1:12" x14ac:dyDescent="0.2">
      <c r="A9" s="16">
        <v>6600</v>
      </c>
      <c r="B9" s="17">
        <v>3639</v>
      </c>
      <c r="C9" s="67" t="s">
        <v>119</v>
      </c>
      <c r="D9" s="9" t="str">
        <f>(MID(E9,1,3))</f>
        <v>211</v>
      </c>
      <c r="E9" s="10">
        <v>2111</v>
      </c>
      <c r="F9" s="64" t="s">
        <v>118</v>
      </c>
      <c r="G9" s="293">
        <v>2100</v>
      </c>
      <c r="H9" s="293">
        <v>2100</v>
      </c>
      <c r="I9" s="66">
        <v>2277</v>
      </c>
      <c r="J9" s="34">
        <f t="shared" si="2"/>
        <v>108.42857142857143</v>
      </c>
      <c r="K9" s="35">
        <f t="shared" si="3"/>
        <v>108.42857142857143</v>
      </c>
    </row>
    <row r="10" spans="1:12" x14ac:dyDescent="0.2">
      <c r="A10" s="16">
        <v>6600</v>
      </c>
      <c r="B10" s="17">
        <v>6171</v>
      </c>
      <c r="C10" s="63" t="s">
        <v>9</v>
      </c>
      <c r="D10" s="9" t="str">
        <f>(MID(E10,1,3))</f>
        <v>211</v>
      </c>
      <c r="E10" s="10">
        <v>2111</v>
      </c>
      <c r="F10" s="64" t="s">
        <v>118</v>
      </c>
      <c r="G10" s="293">
        <v>1000</v>
      </c>
      <c r="H10" s="293">
        <v>1000</v>
      </c>
      <c r="I10" s="66">
        <v>1055</v>
      </c>
      <c r="J10" s="34">
        <f t="shared" si="2"/>
        <v>105.5</v>
      </c>
      <c r="K10" s="35">
        <f t="shared" si="3"/>
        <v>105.5</v>
      </c>
    </row>
    <row r="11" spans="1:12" x14ac:dyDescent="0.2">
      <c r="A11" s="28">
        <v>6700</v>
      </c>
      <c r="B11" s="29">
        <v>3113</v>
      </c>
      <c r="C11" s="30" t="s">
        <v>22</v>
      </c>
      <c r="D11" s="9" t="str">
        <f>(MID(E11,1,3))</f>
        <v>211</v>
      </c>
      <c r="E11" s="10">
        <v>2111</v>
      </c>
      <c r="F11" s="64" t="s">
        <v>118</v>
      </c>
      <c r="G11" s="294">
        <v>60</v>
      </c>
      <c r="H11" s="294">
        <v>60</v>
      </c>
      <c r="I11" s="31">
        <v>38</v>
      </c>
      <c r="J11" s="34">
        <f t="shared" si="2"/>
        <v>63.333333333333329</v>
      </c>
      <c r="K11" s="35">
        <f t="shared" si="3"/>
        <v>63.333333333333329</v>
      </c>
    </row>
    <row r="12" spans="1:12" x14ac:dyDescent="0.2">
      <c r="A12" s="28">
        <v>7200</v>
      </c>
      <c r="B12" s="29">
        <v>4341</v>
      </c>
      <c r="C12" s="30" t="s">
        <v>203</v>
      </c>
      <c r="D12" s="9" t="str">
        <f t="shared" si="1"/>
        <v>211</v>
      </c>
      <c r="E12" s="10">
        <v>2111</v>
      </c>
      <c r="F12" s="64" t="s">
        <v>118</v>
      </c>
      <c r="G12" s="294">
        <v>200</v>
      </c>
      <c r="H12" s="294">
        <v>1697</v>
      </c>
      <c r="I12" s="31">
        <v>1717</v>
      </c>
      <c r="J12" s="34">
        <f t="shared" si="2"/>
        <v>858.50000000000011</v>
      </c>
      <c r="K12" s="35">
        <f t="shared" si="3"/>
        <v>101.17855038302888</v>
      </c>
    </row>
    <row r="13" spans="1:12" x14ac:dyDescent="0.2">
      <c r="A13" s="28">
        <v>8200</v>
      </c>
      <c r="B13" s="29">
        <v>1014</v>
      </c>
      <c r="C13" s="69" t="s">
        <v>161</v>
      </c>
      <c r="D13" s="9" t="str">
        <f t="shared" si="1"/>
        <v>211</v>
      </c>
      <c r="E13" s="10">
        <v>2111</v>
      </c>
      <c r="F13" s="64" t="s">
        <v>118</v>
      </c>
      <c r="G13" s="294">
        <v>320</v>
      </c>
      <c r="H13" s="294">
        <v>320</v>
      </c>
      <c r="I13" s="31">
        <v>312</v>
      </c>
      <c r="J13" s="34">
        <f t="shared" si="2"/>
        <v>97.5</v>
      </c>
      <c r="K13" s="35">
        <f t="shared" si="3"/>
        <v>97.5</v>
      </c>
    </row>
    <row r="14" spans="1:12" x14ac:dyDescent="0.2">
      <c r="A14" s="28">
        <v>8200</v>
      </c>
      <c r="B14" s="29">
        <v>5311</v>
      </c>
      <c r="C14" s="67" t="s">
        <v>84</v>
      </c>
      <c r="D14" s="9" t="str">
        <f t="shared" si="1"/>
        <v>211</v>
      </c>
      <c r="E14" s="29">
        <v>2111</v>
      </c>
      <c r="F14" s="64" t="s">
        <v>118</v>
      </c>
      <c r="G14" s="294">
        <v>2400</v>
      </c>
      <c r="H14" s="294">
        <v>2400</v>
      </c>
      <c r="I14" s="31">
        <v>2321</v>
      </c>
      <c r="J14" s="34">
        <f t="shared" si="2"/>
        <v>96.708333333333329</v>
      </c>
      <c r="K14" s="35">
        <f t="shared" si="3"/>
        <v>96.708333333333329</v>
      </c>
    </row>
    <row r="15" spans="1:12" ht="13.5" thickBot="1" x14ac:dyDescent="0.25">
      <c r="A15" s="70"/>
      <c r="B15" s="71"/>
      <c r="C15" s="72"/>
      <c r="D15" s="73" t="s">
        <v>121</v>
      </c>
      <c r="E15" s="71"/>
      <c r="F15" s="74"/>
      <c r="G15" s="295">
        <f>SUBTOTAL(9,G3:G14)</f>
        <v>63414</v>
      </c>
      <c r="H15" s="295">
        <f>SUBTOTAL(9,H3:H14)</f>
        <v>64911</v>
      </c>
      <c r="I15" s="75">
        <f>SUBTOTAL(9,I3:I14)</f>
        <v>75344</v>
      </c>
      <c r="J15" s="76">
        <f t="shared" ref="J15:J55" si="4">IF(G15&lt;=0,0,$I15/G15*100)</f>
        <v>118.81288043649667</v>
      </c>
      <c r="K15" s="77">
        <f t="shared" ref="K15:K55" si="5">IF(H15&lt;=0,0,$I15/H15*100)</f>
        <v>116.07277657099722</v>
      </c>
    </row>
    <row r="16" spans="1:12" x14ac:dyDescent="0.2">
      <c r="A16" s="78"/>
      <c r="B16" s="79"/>
      <c r="C16" s="80"/>
      <c r="D16" s="22"/>
      <c r="E16" s="10"/>
      <c r="F16" s="81"/>
      <c r="G16" s="296"/>
      <c r="H16" s="296"/>
      <c r="I16" s="82"/>
      <c r="J16" s="83"/>
      <c r="K16" s="84"/>
    </row>
    <row r="17" spans="1:11" x14ac:dyDescent="0.2">
      <c r="A17" s="85" t="s">
        <v>122</v>
      </c>
      <c r="B17" s="17"/>
      <c r="C17" s="65"/>
      <c r="D17" s="22"/>
      <c r="E17" s="10"/>
      <c r="F17" s="81"/>
      <c r="G17" s="296"/>
      <c r="H17" s="296"/>
      <c r="I17" s="82"/>
      <c r="J17" s="83">
        <f t="shared" si="4"/>
        <v>0</v>
      </c>
      <c r="K17" s="86">
        <f t="shared" si="5"/>
        <v>0</v>
      </c>
    </row>
    <row r="18" spans="1:11" x14ac:dyDescent="0.2">
      <c r="A18" s="16">
        <v>1600</v>
      </c>
      <c r="B18" s="17">
        <v>2143</v>
      </c>
      <c r="C18" s="87" t="s">
        <v>177</v>
      </c>
      <c r="D18" s="9" t="str">
        <f>(MID(E18,1,3))</f>
        <v>212</v>
      </c>
      <c r="E18" s="17">
        <v>2122</v>
      </c>
      <c r="F18" s="64" t="s">
        <v>123</v>
      </c>
      <c r="G18" s="292">
        <v>3221</v>
      </c>
      <c r="H18" s="292">
        <v>3221</v>
      </c>
      <c r="I18" s="38">
        <v>3221</v>
      </c>
      <c r="J18" s="34">
        <f t="shared" si="4"/>
        <v>100</v>
      </c>
      <c r="K18" s="35">
        <f t="shared" si="5"/>
        <v>100</v>
      </c>
    </row>
    <row r="19" spans="1:11" ht="12.75" customHeight="1" x14ac:dyDescent="0.2">
      <c r="A19" s="16">
        <v>6700</v>
      </c>
      <c r="B19" s="17">
        <v>3113</v>
      </c>
      <c r="C19" s="65" t="s">
        <v>22</v>
      </c>
      <c r="D19" s="88">
        <v>212</v>
      </c>
      <c r="E19" s="17">
        <v>2122</v>
      </c>
      <c r="F19" s="64" t="s">
        <v>123</v>
      </c>
      <c r="G19" s="292">
        <v>4800</v>
      </c>
      <c r="H19" s="292">
        <v>4800</v>
      </c>
      <c r="I19" s="38">
        <v>4800</v>
      </c>
      <c r="J19" s="34">
        <f t="shared" si="4"/>
        <v>100</v>
      </c>
      <c r="K19" s="35">
        <f t="shared" si="5"/>
        <v>100</v>
      </c>
    </row>
    <row r="20" spans="1:11" x14ac:dyDescent="0.2">
      <c r="A20" s="16">
        <v>7100</v>
      </c>
      <c r="B20" s="17">
        <v>3529</v>
      </c>
      <c r="C20" s="89" t="s">
        <v>81</v>
      </c>
      <c r="D20" s="9" t="str">
        <f>(MID(E20,1,3))</f>
        <v>212</v>
      </c>
      <c r="E20" s="17">
        <v>2122</v>
      </c>
      <c r="F20" s="64" t="s">
        <v>123</v>
      </c>
      <c r="G20" s="292">
        <v>2473</v>
      </c>
      <c r="H20" s="292">
        <v>2473</v>
      </c>
      <c r="I20" s="38">
        <v>2473</v>
      </c>
      <c r="J20" s="34">
        <f t="shared" si="4"/>
        <v>100</v>
      </c>
      <c r="K20" s="35">
        <f t="shared" si="5"/>
        <v>100</v>
      </c>
    </row>
    <row r="21" spans="1:11" x14ac:dyDescent="0.2">
      <c r="A21" s="16">
        <v>7200</v>
      </c>
      <c r="B21" s="17">
        <v>4357</v>
      </c>
      <c r="C21" s="87" t="s">
        <v>166</v>
      </c>
      <c r="D21" s="9" t="str">
        <f>(MID(E21,1,3))</f>
        <v>212</v>
      </c>
      <c r="E21" s="17">
        <v>2122</v>
      </c>
      <c r="F21" s="64" t="s">
        <v>123</v>
      </c>
      <c r="G21" s="292">
        <v>2720</v>
      </c>
      <c r="H21" s="292">
        <v>2720</v>
      </c>
      <c r="I21" s="38">
        <v>2720</v>
      </c>
      <c r="J21" s="34">
        <f t="shared" si="4"/>
        <v>100</v>
      </c>
      <c r="K21" s="35">
        <f t="shared" si="5"/>
        <v>100</v>
      </c>
    </row>
    <row r="22" spans="1:11" x14ac:dyDescent="0.2">
      <c r="A22" s="16">
        <v>7200</v>
      </c>
      <c r="B22" s="17">
        <v>4374</v>
      </c>
      <c r="C22" s="87" t="s">
        <v>231</v>
      </c>
      <c r="D22" s="9" t="str">
        <f>(MID(E22,1,3))</f>
        <v>212</v>
      </c>
      <c r="E22" s="17">
        <v>2122</v>
      </c>
      <c r="F22" s="64" t="s">
        <v>123</v>
      </c>
      <c r="G22" s="292"/>
      <c r="H22" s="292">
        <v>386</v>
      </c>
      <c r="I22" s="38">
        <v>386</v>
      </c>
      <c r="J22" s="34"/>
      <c r="K22" s="35">
        <f t="shared" si="5"/>
        <v>100</v>
      </c>
    </row>
    <row r="23" spans="1:11" x14ac:dyDescent="0.2">
      <c r="A23" s="16">
        <v>7300</v>
      </c>
      <c r="B23" s="29">
        <v>3311</v>
      </c>
      <c r="C23" s="68" t="s">
        <v>23</v>
      </c>
      <c r="D23" s="9" t="str">
        <f>(MID(E23,1,3))</f>
        <v>212</v>
      </c>
      <c r="E23" s="17">
        <v>2122</v>
      </c>
      <c r="F23" s="64" t="s">
        <v>123</v>
      </c>
      <c r="G23" s="292">
        <v>74641</v>
      </c>
      <c r="H23" s="292">
        <v>79554</v>
      </c>
      <c r="I23" s="38">
        <v>79554</v>
      </c>
      <c r="J23" s="34">
        <f t="shared" si="4"/>
        <v>106.5821733363701</v>
      </c>
      <c r="K23" s="35">
        <f t="shared" si="5"/>
        <v>100</v>
      </c>
    </row>
    <row r="24" spans="1:11" x14ac:dyDescent="0.2">
      <c r="A24" s="16">
        <v>7300</v>
      </c>
      <c r="B24" s="29">
        <v>3312</v>
      </c>
      <c r="C24" s="68" t="s">
        <v>85</v>
      </c>
      <c r="D24" s="11">
        <v>212</v>
      </c>
      <c r="E24" s="17">
        <v>2122</v>
      </c>
      <c r="F24" s="64" t="s">
        <v>123</v>
      </c>
      <c r="G24" s="292">
        <v>1800</v>
      </c>
      <c r="H24" s="292">
        <v>900</v>
      </c>
      <c r="I24" s="38">
        <v>900</v>
      </c>
      <c r="J24" s="34">
        <f t="shared" si="4"/>
        <v>50</v>
      </c>
      <c r="K24" s="35">
        <f t="shared" si="5"/>
        <v>100</v>
      </c>
    </row>
    <row r="25" spans="1:11" x14ac:dyDescent="0.2">
      <c r="A25" s="16">
        <v>7300</v>
      </c>
      <c r="B25" s="29">
        <v>3314</v>
      </c>
      <c r="C25" s="68" t="s">
        <v>86</v>
      </c>
      <c r="D25" s="11">
        <v>212</v>
      </c>
      <c r="E25" s="17">
        <v>2122</v>
      </c>
      <c r="F25" s="64" t="s">
        <v>123</v>
      </c>
      <c r="G25" s="292">
        <v>803</v>
      </c>
      <c r="H25" s="292">
        <v>1382</v>
      </c>
      <c r="I25" s="38">
        <v>1382</v>
      </c>
      <c r="J25" s="34">
        <f t="shared" si="4"/>
        <v>172.10460772104608</v>
      </c>
      <c r="K25" s="35">
        <f t="shared" si="5"/>
        <v>100</v>
      </c>
    </row>
    <row r="26" spans="1:11" x14ac:dyDescent="0.2">
      <c r="A26" s="16">
        <v>7300</v>
      </c>
      <c r="B26" s="29">
        <v>3315</v>
      </c>
      <c r="C26" s="68" t="s">
        <v>87</v>
      </c>
      <c r="D26" s="11">
        <v>212</v>
      </c>
      <c r="E26" s="17">
        <v>2122</v>
      </c>
      <c r="F26" s="64" t="s">
        <v>123</v>
      </c>
      <c r="G26" s="292">
        <v>7477</v>
      </c>
      <c r="H26" s="292">
        <v>7477</v>
      </c>
      <c r="I26" s="38">
        <v>7477</v>
      </c>
      <c r="J26" s="34">
        <f t="shared" si="4"/>
        <v>100</v>
      </c>
      <c r="K26" s="35">
        <f t="shared" si="5"/>
        <v>100</v>
      </c>
    </row>
    <row r="27" spans="1:11" x14ac:dyDescent="0.2">
      <c r="A27" s="16">
        <v>7300</v>
      </c>
      <c r="B27" s="29">
        <v>3317</v>
      </c>
      <c r="C27" s="68" t="s">
        <v>88</v>
      </c>
      <c r="D27" s="11">
        <v>212</v>
      </c>
      <c r="E27" s="17">
        <v>2122</v>
      </c>
      <c r="F27" s="64" t="s">
        <v>123</v>
      </c>
      <c r="G27" s="292">
        <v>1450</v>
      </c>
      <c r="H27" s="292">
        <v>1467</v>
      </c>
      <c r="I27" s="38">
        <v>1467</v>
      </c>
      <c r="J27" s="34">
        <f t="shared" si="4"/>
        <v>101.17241379310344</v>
      </c>
      <c r="K27" s="35">
        <f t="shared" si="5"/>
        <v>100</v>
      </c>
    </row>
    <row r="28" spans="1:11" x14ac:dyDescent="0.2">
      <c r="A28" s="16">
        <v>7300</v>
      </c>
      <c r="B28" s="29">
        <v>3319</v>
      </c>
      <c r="C28" s="87" t="s">
        <v>45</v>
      </c>
      <c r="D28" s="11">
        <v>212</v>
      </c>
      <c r="E28" s="17">
        <v>2122</v>
      </c>
      <c r="F28" s="64" t="s">
        <v>123</v>
      </c>
      <c r="G28" s="292">
        <v>1000</v>
      </c>
      <c r="H28" s="292">
        <v>1000</v>
      </c>
      <c r="I28" s="38">
        <v>1000</v>
      </c>
      <c r="J28" s="34">
        <f t="shared" si="4"/>
        <v>100</v>
      </c>
      <c r="K28" s="35">
        <f t="shared" si="5"/>
        <v>100</v>
      </c>
    </row>
    <row r="29" spans="1:11" ht="13.5" thickBot="1" x14ac:dyDescent="0.25">
      <c r="A29" s="70"/>
      <c r="B29" s="71"/>
      <c r="C29" s="72"/>
      <c r="D29" s="73" t="s">
        <v>124</v>
      </c>
      <c r="E29" s="71"/>
      <c r="F29" s="74"/>
      <c r="G29" s="295">
        <f>SUBTOTAL(9,G18:G28)</f>
        <v>100385</v>
      </c>
      <c r="H29" s="295">
        <f>SUBTOTAL(9,H18:H28)</f>
        <v>105380</v>
      </c>
      <c r="I29" s="75">
        <f>SUBTOTAL(9,I18:I28)</f>
        <v>105380</v>
      </c>
      <c r="J29" s="76">
        <f t="shared" si="4"/>
        <v>104.97584300443292</v>
      </c>
      <c r="K29" s="77">
        <f t="shared" si="5"/>
        <v>100</v>
      </c>
    </row>
    <row r="30" spans="1:11" x14ac:dyDescent="0.2">
      <c r="A30" s="16"/>
      <c r="B30" s="17"/>
      <c r="C30" s="63"/>
      <c r="D30" s="26"/>
      <c r="E30" s="17"/>
      <c r="F30" s="18"/>
      <c r="G30" s="297"/>
      <c r="H30" s="297"/>
      <c r="I30" s="90"/>
      <c r="J30" s="91">
        <f t="shared" si="4"/>
        <v>0</v>
      </c>
      <c r="K30" s="86">
        <f t="shared" si="5"/>
        <v>0</v>
      </c>
    </row>
    <row r="31" spans="1:11" x14ac:dyDescent="0.2">
      <c r="A31" s="85" t="s">
        <v>125</v>
      </c>
      <c r="B31" s="17"/>
      <c r="C31" s="63"/>
      <c r="D31" s="26"/>
      <c r="E31" s="17"/>
      <c r="F31" s="18"/>
      <c r="G31" s="297"/>
      <c r="H31" s="297"/>
      <c r="I31" s="90"/>
      <c r="J31" s="20">
        <f t="shared" si="4"/>
        <v>0</v>
      </c>
      <c r="K31" s="21">
        <f t="shared" si="5"/>
        <v>0</v>
      </c>
    </row>
    <row r="32" spans="1:11" x14ac:dyDescent="0.2">
      <c r="A32" s="16">
        <v>4200</v>
      </c>
      <c r="B32" s="92">
        <v>3632</v>
      </c>
      <c r="C32" s="87" t="s">
        <v>1</v>
      </c>
      <c r="D32" s="9" t="str">
        <f t="shared" ref="D32:D39" si="6">(MID(E32,1,3))</f>
        <v>213</v>
      </c>
      <c r="E32" s="92">
        <v>2131</v>
      </c>
      <c r="F32" s="30" t="s">
        <v>126</v>
      </c>
      <c r="G32" s="292">
        <v>79</v>
      </c>
      <c r="H32" s="292">
        <v>79</v>
      </c>
      <c r="I32" s="38">
        <v>81</v>
      </c>
      <c r="J32" s="34">
        <f t="shared" si="4"/>
        <v>102.53164556962024</v>
      </c>
      <c r="K32" s="35">
        <f t="shared" si="5"/>
        <v>102.53164556962024</v>
      </c>
    </row>
    <row r="33" spans="1:12" x14ac:dyDescent="0.2">
      <c r="A33" s="16">
        <v>4200</v>
      </c>
      <c r="B33" s="29">
        <v>3745</v>
      </c>
      <c r="C33" s="67" t="s">
        <v>2</v>
      </c>
      <c r="D33" s="9" t="str">
        <f t="shared" si="6"/>
        <v>213</v>
      </c>
      <c r="E33" s="29">
        <v>2131</v>
      </c>
      <c r="F33" s="30" t="s">
        <v>126</v>
      </c>
      <c r="G33" s="294">
        <v>232</v>
      </c>
      <c r="H33" s="294">
        <v>232</v>
      </c>
      <c r="I33" s="31">
        <v>135</v>
      </c>
      <c r="J33" s="34">
        <f t="shared" si="4"/>
        <v>58.189655172413794</v>
      </c>
      <c r="K33" s="35">
        <f t="shared" si="5"/>
        <v>58.189655172413794</v>
      </c>
    </row>
    <row r="34" spans="1:12" x14ac:dyDescent="0.2">
      <c r="A34" s="93">
        <v>6200</v>
      </c>
      <c r="B34" s="92">
        <v>3612</v>
      </c>
      <c r="C34" s="68" t="s">
        <v>11</v>
      </c>
      <c r="D34" s="9" t="str">
        <f t="shared" si="6"/>
        <v>213</v>
      </c>
      <c r="E34" s="29">
        <v>2131</v>
      </c>
      <c r="F34" s="30" t="s">
        <v>126</v>
      </c>
      <c r="G34" s="292">
        <v>128</v>
      </c>
      <c r="H34" s="292">
        <v>128</v>
      </c>
      <c r="I34" s="38">
        <v>126</v>
      </c>
      <c r="J34" s="34">
        <f t="shared" si="4"/>
        <v>98.4375</v>
      </c>
      <c r="K34" s="35">
        <f t="shared" si="5"/>
        <v>98.4375</v>
      </c>
    </row>
    <row r="35" spans="1:12" x14ac:dyDescent="0.2">
      <c r="A35" s="28">
        <v>6600</v>
      </c>
      <c r="B35" s="29">
        <v>3639</v>
      </c>
      <c r="C35" s="67" t="s">
        <v>119</v>
      </c>
      <c r="D35" s="9" t="str">
        <f t="shared" si="6"/>
        <v>213</v>
      </c>
      <c r="E35" s="29">
        <v>2131</v>
      </c>
      <c r="F35" s="30" t="s">
        <v>126</v>
      </c>
      <c r="G35" s="294">
        <v>44000</v>
      </c>
      <c r="H35" s="294">
        <v>44000</v>
      </c>
      <c r="I35" s="31">
        <v>51952</v>
      </c>
      <c r="J35" s="34">
        <f t="shared" si="4"/>
        <v>118.07272727272726</v>
      </c>
      <c r="K35" s="35">
        <f t="shared" si="5"/>
        <v>118.07272727272726</v>
      </c>
      <c r="L35" s="331"/>
    </row>
    <row r="36" spans="1:12" x14ac:dyDescent="0.2">
      <c r="A36" s="16">
        <v>1600</v>
      </c>
      <c r="B36" s="17">
        <v>2143</v>
      </c>
      <c r="C36" s="87" t="s">
        <v>177</v>
      </c>
      <c r="D36" s="9" t="str">
        <f t="shared" si="6"/>
        <v>213</v>
      </c>
      <c r="E36" s="17">
        <v>2132</v>
      </c>
      <c r="F36" s="18" t="s">
        <v>195</v>
      </c>
      <c r="G36" s="293">
        <v>580</v>
      </c>
      <c r="H36" s="293">
        <v>580</v>
      </c>
      <c r="I36" s="19">
        <v>649</v>
      </c>
      <c r="J36" s="34">
        <f t="shared" si="4"/>
        <v>111.89655172413792</v>
      </c>
      <c r="K36" s="35">
        <f t="shared" si="5"/>
        <v>111.89655172413792</v>
      </c>
    </row>
    <row r="37" spans="1:12" x14ac:dyDescent="0.2">
      <c r="A37" s="16">
        <v>3200</v>
      </c>
      <c r="B37" s="17">
        <v>6171</v>
      </c>
      <c r="C37" s="87" t="s">
        <v>9</v>
      </c>
      <c r="D37" s="9" t="str">
        <f>(MID(E37,1,3))</f>
        <v>213</v>
      </c>
      <c r="E37" s="17">
        <v>2132</v>
      </c>
      <c r="F37" s="18" t="s">
        <v>195</v>
      </c>
      <c r="G37" s="293">
        <v>55</v>
      </c>
      <c r="H37" s="293">
        <v>55</v>
      </c>
      <c r="I37" s="19">
        <v>90</v>
      </c>
      <c r="J37" s="34">
        <f t="shared" si="4"/>
        <v>163.63636363636365</v>
      </c>
      <c r="K37" s="35">
        <f t="shared" si="5"/>
        <v>163.63636363636365</v>
      </c>
    </row>
    <row r="38" spans="1:12" x14ac:dyDescent="0.2">
      <c r="A38" s="16">
        <v>4200</v>
      </c>
      <c r="B38" s="17">
        <v>3745</v>
      </c>
      <c r="C38" s="63" t="s">
        <v>2</v>
      </c>
      <c r="D38" s="9" t="str">
        <f>(MID(E38,1,3))</f>
        <v>213</v>
      </c>
      <c r="E38" s="17">
        <v>2132</v>
      </c>
      <c r="F38" s="18" t="s">
        <v>195</v>
      </c>
      <c r="G38" s="293">
        <v>142</v>
      </c>
      <c r="H38" s="293">
        <v>142</v>
      </c>
      <c r="I38" s="19">
        <v>143</v>
      </c>
      <c r="J38" s="34">
        <f t="shared" si="4"/>
        <v>100.70422535211267</v>
      </c>
      <c r="K38" s="35">
        <f t="shared" si="5"/>
        <v>100.70422535211267</v>
      </c>
    </row>
    <row r="39" spans="1:12" x14ac:dyDescent="0.2">
      <c r="A39" s="28">
        <v>4300</v>
      </c>
      <c r="B39" s="29">
        <v>1031</v>
      </c>
      <c r="C39" s="67" t="s">
        <v>127</v>
      </c>
      <c r="D39" s="9" t="str">
        <f t="shared" si="6"/>
        <v>213</v>
      </c>
      <c r="E39" s="29">
        <v>2132</v>
      </c>
      <c r="F39" s="18" t="s">
        <v>195</v>
      </c>
      <c r="G39" s="294">
        <v>8500</v>
      </c>
      <c r="H39" s="294">
        <v>8500</v>
      </c>
      <c r="I39" s="31">
        <v>8414</v>
      </c>
      <c r="J39" s="34">
        <f t="shared" si="4"/>
        <v>98.988235294117644</v>
      </c>
      <c r="K39" s="35">
        <f t="shared" si="5"/>
        <v>98.988235294117644</v>
      </c>
    </row>
    <row r="40" spans="1:12" x14ac:dyDescent="0.2">
      <c r="A40" s="28">
        <v>5400</v>
      </c>
      <c r="B40" s="94">
        <v>2219</v>
      </c>
      <c r="C40" s="67" t="s">
        <v>50</v>
      </c>
      <c r="D40" s="9" t="str">
        <f t="shared" ref="D40:D54" si="7">(MID(E40,1,3))</f>
        <v>213</v>
      </c>
      <c r="E40" s="29">
        <v>2132</v>
      </c>
      <c r="F40" s="18" t="s">
        <v>195</v>
      </c>
      <c r="G40" s="294">
        <v>5800</v>
      </c>
      <c r="H40" s="294">
        <v>5800</v>
      </c>
      <c r="I40" s="31">
        <v>5338</v>
      </c>
      <c r="J40" s="34">
        <f t="shared" si="4"/>
        <v>92.034482758620697</v>
      </c>
      <c r="K40" s="35">
        <f t="shared" si="5"/>
        <v>92.034482758620697</v>
      </c>
    </row>
    <row r="41" spans="1:12" x14ac:dyDescent="0.2">
      <c r="A41" s="95" t="s">
        <v>162</v>
      </c>
      <c r="B41" s="92">
        <v>3612</v>
      </c>
      <c r="C41" s="68" t="s">
        <v>11</v>
      </c>
      <c r="D41" s="9" t="str">
        <f t="shared" si="7"/>
        <v>213</v>
      </c>
      <c r="E41" s="92">
        <v>2132</v>
      </c>
      <c r="F41" s="18" t="s">
        <v>195</v>
      </c>
      <c r="G41" s="292">
        <v>4800</v>
      </c>
      <c r="H41" s="292">
        <v>4800</v>
      </c>
      <c r="I41" s="38">
        <v>4884</v>
      </c>
      <c r="J41" s="34">
        <f t="shared" si="4"/>
        <v>101.75</v>
      </c>
      <c r="K41" s="35">
        <f t="shared" si="5"/>
        <v>101.75</v>
      </c>
    </row>
    <row r="42" spans="1:12" x14ac:dyDescent="0.2">
      <c r="A42" s="95" t="s">
        <v>187</v>
      </c>
      <c r="B42" s="92">
        <v>3612</v>
      </c>
      <c r="C42" s="68" t="s">
        <v>11</v>
      </c>
      <c r="D42" s="9" t="str">
        <f>(MID(E42,1,3))</f>
        <v>213</v>
      </c>
      <c r="E42" s="29">
        <v>2132</v>
      </c>
      <c r="F42" s="18" t="s">
        <v>195</v>
      </c>
      <c r="G42" s="292">
        <v>39000</v>
      </c>
      <c r="H42" s="292">
        <v>39000</v>
      </c>
      <c r="I42" s="38">
        <v>41584</v>
      </c>
      <c r="J42" s="34">
        <f t="shared" si="4"/>
        <v>106.62564102564103</v>
      </c>
      <c r="K42" s="35">
        <f t="shared" si="5"/>
        <v>106.62564102564103</v>
      </c>
    </row>
    <row r="43" spans="1:12" x14ac:dyDescent="0.2">
      <c r="A43" s="28">
        <v>6600</v>
      </c>
      <c r="B43" s="29">
        <v>3639</v>
      </c>
      <c r="C43" s="67" t="s">
        <v>119</v>
      </c>
      <c r="D43" s="9" t="str">
        <f t="shared" si="7"/>
        <v>213</v>
      </c>
      <c r="E43" s="29">
        <v>2132</v>
      </c>
      <c r="F43" s="18" t="s">
        <v>195</v>
      </c>
      <c r="G43" s="294">
        <v>60000</v>
      </c>
      <c r="H43" s="294">
        <v>60000</v>
      </c>
      <c r="I43" s="31">
        <v>43136</v>
      </c>
      <c r="J43" s="34">
        <f t="shared" si="4"/>
        <v>71.893333333333331</v>
      </c>
      <c r="K43" s="35">
        <f t="shared" si="5"/>
        <v>71.893333333333331</v>
      </c>
      <c r="L43" s="331"/>
    </row>
    <row r="44" spans="1:12" x14ac:dyDescent="0.2">
      <c r="A44" s="16">
        <v>6600</v>
      </c>
      <c r="B44" s="17">
        <v>6171</v>
      </c>
      <c r="C44" s="63" t="s">
        <v>9</v>
      </c>
      <c r="D44" s="9" t="str">
        <f t="shared" si="7"/>
        <v>213</v>
      </c>
      <c r="E44" s="17">
        <v>2132</v>
      </c>
      <c r="F44" s="18" t="s">
        <v>195</v>
      </c>
      <c r="G44" s="293">
        <v>6000</v>
      </c>
      <c r="H44" s="293">
        <v>6000</v>
      </c>
      <c r="I44" s="19">
        <v>5236</v>
      </c>
      <c r="J44" s="34">
        <f t="shared" si="4"/>
        <v>87.266666666666666</v>
      </c>
      <c r="K44" s="35">
        <f t="shared" si="5"/>
        <v>87.266666666666666</v>
      </c>
    </row>
    <row r="45" spans="1:12" x14ac:dyDescent="0.2">
      <c r="A45" s="28">
        <v>6700</v>
      </c>
      <c r="B45" s="29">
        <v>3113</v>
      </c>
      <c r="C45" s="65" t="s">
        <v>22</v>
      </c>
      <c r="D45" s="11">
        <v>213</v>
      </c>
      <c r="E45" s="29">
        <v>2132</v>
      </c>
      <c r="F45" s="18" t="s">
        <v>195</v>
      </c>
      <c r="G45" s="294">
        <v>735</v>
      </c>
      <c r="H45" s="294">
        <v>735</v>
      </c>
      <c r="I45" s="31">
        <v>773</v>
      </c>
      <c r="J45" s="34">
        <f t="shared" si="4"/>
        <v>105.17006802721089</v>
      </c>
      <c r="K45" s="35">
        <f t="shared" si="5"/>
        <v>105.17006802721089</v>
      </c>
    </row>
    <row r="46" spans="1:12" x14ac:dyDescent="0.2">
      <c r="A46" s="28">
        <v>6700</v>
      </c>
      <c r="B46" s="29">
        <v>3419</v>
      </c>
      <c r="C46" s="30" t="s">
        <v>46</v>
      </c>
      <c r="D46" s="9" t="str">
        <f>(MID(E46,1,3))</f>
        <v>213</v>
      </c>
      <c r="E46" s="29">
        <v>2132</v>
      </c>
      <c r="F46" s="18" t="s">
        <v>195</v>
      </c>
      <c r="G46" s="294">
        <v>1117</v>
      </c>
      <c r="H46" s="294">
        <v>1117</v>
      </c>
      <c r="I46" s="31">
        <v>1127</v>
      </c>
      <c r="J46" s="34">
        <f t="shared" si="4"/>
        <v>100.89525514771709</v>
      </c>
      <c r="K46" s="35">
        <f t="shared" si="5"/>
        <v>100.89525514771709</v>
      </c>
    </row>
    <row r="47" spans="1:12" x14ac:dyDescent="0.2">
      <c r="A47" s="93">
        <v>7100</v>
      </c>
      <c r="B47" s="92">
        <v>3511</v>
      </c>
      <c r="C47" s="69" t="s">
        <v>12</v>
      </c>
      <c r="D47" s="9" t="str">
        <f t="shared" si="7"/>
        <v>213</v>
      </c>
      <c r="E47" s="92">
        <v>2132</v>
      </c>
      <c r="F47" s="18" t="s">
        <v>195</v>
      </c>
      <c r="G47" s="292">
        <v>7694</v>
      </c>
      <c r="H47" s="292">
        <v>7694</v>
      </c>
      <c r="I47" s="38">
        <v>8134</v>
      </c>
      <c r="J47" s="34">
        <f t="shared" si="4"/>
        <v>105.71874187678712</v>
      </c>
      <c r="K47" s="35">
        <f t="shared" si="5"/>
        <v>105.71874187678712</v>
      </c>
    </row>
    <row r="48" spans="1:12" x14ac:dyDescent="0.2">
      <c r="A48" s="28">
        <v>7200</v>
      </c>
      <c r="B48" s="29">
        <v>3639</v>
      </c>
      <c r="C48" s="67" t="s">
        <v>119</v>
      </c>
      <c r="D48" s="9" t="str">
        <f t="shared" si="7"/>
        <v>213</v>
      </c>
      <c r="E48" s="29">
        <v>2132</v>
      </c>
      <c r="F48" s="18" t="s">
        <v>195</v>
      </c>
      <c r="G48" s="294">
        <v>96</v>
      </c>
      <c r="H48" s="294">
        <v>96</v>
      </c>
      <c r="I48" s="31">
        <v>88</v>
      </c>
      <c r="J48" s="34">
        <f t="shared" si="4"/>
        <v>91.666666666666657</v>
      </c>
      <c r="K48" s="35">
        <f t="shared" si="5"/>
        <v>91.666666666666657</v>
      </c>
    </row>
    <row r="49" spans="1:12" x14ac:dyDescent="0.2">
      <c r="A49" s="28">
        <v>7200</v>
      </c>
      <c r="B49" s="29">
        <v>4341</v>
      </c>
      <c r="C49" s="30" t="s">
        <v>203</v>
      </c>
      <c r="D49" s="9" t="str">
        <f>(MID(E49,1,3))</f>
        <v>213</v>
      </c>
      <c r="E49" s="29">
        <v>2132</v>
      </c>
      <c r="F49" s="18" t="s">
        <v>195</v>
      </c>
      <c r="G49" s="294"/>
      <c r="H49" s="294"/>
      <c r="I49" s="31">
        <v>12</v>
      </c>
      <c r="J49" s="34">
        <f t="shared" si="4"/>
        <v>0</v>
      </c>
      <c r="K49" s="35">
        <f t="shared" si="5"/>
        <v>0</v>
      </c>
    </row>
    <row r="50" spans="1:12" x14ac:dyDescent="0.2">
      <c r="A50" s="28">
        <v>7200</v>
      </c>
      <c r="B50" s="29">
        <v>4350</v>
      </c>
      <c r="C50" s="30" t="s">
        <v>229</v>
      </c>
      <c r="D50" s="9" t="str">
        <f>(MID(E50,1,3))</f>
        <v>213</v>
      </c>
      <c r="E50" s="29">
        <v>2132</v>
      </c>
      <c r="F50" s="18" t="s">
        <v>195</v>
      </c>
      <c r="G50" s="294">
        <v>50</v>
      </c>
      <c r="H50" s="294">
        <v>50</v>
      </c>
      <c r="I50" s="31">
        <v>50</v>
      </c>
      <c r="J50" s="34">
        <f t="shared" si="4"/>
        <v>100</v>
      </c>
      <c r="K50" s="35">
        <f t="shared" si="5"/>
        <v>100</v>
      </c>
    </row>
    <row r="51" spans="1:12" x14ac:dyDescent="0.2">
      <c r="A51" s="28">
        <v>7300</v>
      </c>
      <c r="B51" s="29">
        <v>3311</v>
      </c>
      <c r="C51" s="68" t="s">
        <v>23</v>
      </c>
      <c r="D51" s="9" t="str">
        <f t="shared" si="7"/>
        <v>213</v>
      </c>
      <c r="E51" s="29">
        <v>2132</v>
      </c>
      <c r="F51" s="18" t="s">
        <v>195</v>
      </c>
      <c r="G51" s="294">
        <v>3724</v>
      </c>
      <c r="H51" s="294">
        <v>2976</v>
      </c>
      <c r="I51" s="31">
        <v>2921</v>
      </c>
      <c r="J51" s="34">
        <f t="shared" si="4"/>
        <v>78.437164339419979</v>
      </c>
      <c r="K51" s="35">
        <f t="shared" si="5"/>
        <v>98.151881720430111</v>
      </c>
    </row>
    <row r="52" spans="1:12" x14ac:dyDescent="0.2">
      <c r="A52" s="28">
        <v>7300</v>
      </c>
      <c r="B52" s="29">
        <v>3314</v>
      </c>
      <c r="C52" s="68" t="s">
        <v>86</v>
      </c>
      <c r="D52" s="9" t="str">
        <f t="shared" si="7"/>
        <v>213</v>
      </c>
      <c r="E52" s="29">
        <v>2132</v>
      </c>
      <c r="F52" s="18" t="s">
        <v>195</v>
      </c>
      <c r="G52" s="294">
        <v>2139</v>
      </c>
      <c r="H52" s="294">
        <v>1824</v>
      </c>
      <c r="I52" s="31">
        <v>1822</v>
      </c>
      <c r="J52" s="34">
        <f t="shared" si="4"/>
        <v>85.17999064983637</v>
      </c>
      <c r="K52" s="35">
        <f t="shared" si="5"/>
        <v>99.890350877192986</v>
      </c>
    </row>
    <row r="53" spans="1:12" x14ac:dyDescent="0.2">
      <c r="A53" s="28">
        <v>7300</v>
      </c>
      <c r="B53" s="29">
        <v>3315</v>
      </c>
      <c r="C53" s="68" t="s">
        <v>87</v>
      </c>
      <c r="D53" s="9" t="str">
        <f t="shared" si="7"/>
        <v>213</v>
      </c>
      <c r="E53" s="29">
        <v>2132</v>
      </c>
      <c r="F53" s="18" t="s">
        <v>195</v>
      </c>
      <c r="G53" s="294">
        <v>570</v>
      </c>
      <c r="H53" s="294">
        <v>570</v>
      </c>
      <c r="I53" s="31">
        <v>571</v>
      </c>
      <c r="J53" s="34">
        <f t="shared" si="4"/>
        <v>100.17543859649123</v>
      </c>
      <c r="K53" s="35">
        <f t="shared" si="5"/>
        <v>100.17543859649123</v>
      </c>
    </row>
    <row r="54" spans="1:12" x14ac:dyDescent="0.2">
      <c r="A54" s="28">
        <v>7300</v>
      </c>
      <c r="B54" s="29">
        <v>3317</v>
      </c>
      <c r="C54" s="87" t="s">
        <v>88</v>
      </c>
      <c r="D54" s="9" t="str">
        <f t="shared" si="7"/>
        <v>213</v>
      </c>
      <c r="E54" s="29">
        <v>2132</v>
      </c>
      <c r="F54" s="18" t="s">
        <v>195</v>
      </c>
      <c r="G54" s="294">
        <v>1459</v>
      </c>
      <c r="H54" s="294">
        <v>1479</v>
      </c>
      <c r="I54" s="31">
        <v>1474</v>
      </c>
      <c r="J54" s="34">
        <f t="shared" si="4"/>
        <v>101.02810143934202</v>
      </c>
      <c r="K54" s="35">
        <f t="shared" si="5"/>
        <v>99.661933739012838</v>
      </c>
    </row>
    <row r="55" spans="1:12" x14ac:dyDescent="0.2">
      <c r="A55" s="16">
        <v>8200</v>
      </c>
      <c r="B55" s="17">
        <v>5311</v>
      </c>
      <c r="C55" s="87" t="s">
        <v>84</v>
      </c>
      <c r="D55" s="11">
        <v>213</v>
      </c>
      <c r="E55" s="17">
        <v>2132</v>
      </c>
      <c r="F55" s="18" t="s">
        <v>195</v>
      </c>
      <c r="G55" s="293">
        <v>450</v>
      </c>
      <c r="H55" s="293">
        <v>450</v>
      </c>
      <c r="I55" s="19">
        <v>561</v>
      </c>
      <c r="J55" s="34">
        <f t="shared" si="4"/>
        <v>124.66666666666666</v>
      </c>
      <c r="K55" s="35">
        <f t="shared" si="5"/>
        <v>124.66666666666666</v>
      </c>
    </row>
    <row r="56" spans="1:12" ht="13.5" thickBot="1" x14ac:dyDescent="0.25">
      <c r="A56" s="70"/>
      <c r="B56" s="71"/>
      <c r="C56" s="72"/>
      <c r="D56" s="73" t="s">
        <v>128</v>
      </c>
      <c r="E56" s="71"/>
      <c r="F56" s="74"/>
      <c r="G56" s="295">
        <f>SUBTOTAL(9,G32:G55)</f>
        <v>187350</v>
      </c>
      <c r="H56" s="295">
        <f>SUBTOTAL(9,H32:H55)</f>
        <v>186307</v>
      </c>
      <c r="I56" s="75">
        <f>SUBTOTAL(9,I32:I55)</f>
        <v>179301</v>
      </c>
      <c r="J56" s="76">
        <f t="shared" ref="J56:J65" si="8">IF(G56&lt;=0,0,$I56/G56*100)</f>
        <v>95.703763010408323</v>
      </c>
      <c r="K56" s="77">
        <f t="shared" ref="K56:K97" si="9">IF(H56&lt;=0,0,$I56/H56*100)</f>
        <v>96.23954011389803</v>
      </c>
    </row>
    <row r="57" spans="1:12" x14ac:dyDescent="0.2">
      <c r="A57" s="16"/>
      <c r="B57" s="17"/>
      <c r="C57" s="63"/>
      <c r="D57" s="26"/>
      <c r="E57" s="17"/>
      <c r="F57" s="18"/>
      <c r="G57" s="297"/>
      <c r="H57" s="297"/>
      <c r="I57" s="90"/>
      <c r="J57" s="91">
        <f t="shared" si="8"/>
        <v>0</v>
      </c>
      <c r="K57" s="86">
        <f t="shared" si="9"/>
        <v>0</v>
      </c>
    </row>
    <row r="58" spans="1:12" x14ac:dyDescent="0.2">
      <c r="A58" s="85" t="s">
        <v>208</v>
      </c>
      <c r="B58" s="17"/>
      <c r="C58" s="63"/>
      <c r="D58" s="26"/>
      <c r="E58" s="17"/>
      <c r="F58" s="18"/>
      <c r="G58" s="297"/>
      <c r="H58" s="297"/>
      <c r="I58" s="90"/>
      <c r="J58" s="91">
        <f t="shared" si="8"/>
        <v>0</v>
      </c>
      <c r="K58" s="86">
        <f t="shared" si="9"/>
        <v>0</v>
      </c>
    </row>
    <row r="59" spans="1:12" x14ac:dyDescent="0.2">
      <c r="A59" s="16">
        <v>1700</v>
      </c>
      <c r="B59" s="17">
        <v>6310</v>
      </c>
      <c r="C59" s="63" t="s">
        <v>131</v>
      </c>
      <c r="D59" s="63" t="str">
        <f t="shared" ref="D59:D65" si="10">(MID(E59,1,3))</f>
        <v>214</v>
      </c>
      <c r="E59" s="17">
        <v>2141</v>
      </c>
      <c r="F59" s="18" t="s">
        <v>129</v>
      </c>
      <c r="G59" s="293">
        <v>4200</v>
      </c>
      <c r="H59" s="293">
        <v>4200</v>
      </c>
      <c r="I59" s="19">
        <v>4717</v>
      </c>
      <c r="J59" s="34">
        <f t="shared" si="8"/>
        <v>112.30952380952381</v>
      </c>
      <c r="K59" s="35">
        <f t="shared" si="9"/>
        <v>112.30952380952381</v>
      </c>
    </row>
    <row r="60" spans="1:12" x14ac:dyDescent="0.2">
      <c r="A60" s="16">
        <v>5600</v>
      </c>
      <c r="B60" s="17">
        <v>2212</v>
      </c>
      <c r="C60" s="63" t="s">
        <v>18</v>
      </c>
      <c r="D60" s="63" t="str">
        <f t="shared" si="10"/>
        <v>214</v>
      </c>
      <c r="E60" s="17">
        <v>2141</v>
      </c>
      <c r="F60" s="18" t="s">
        <v>129</v>
      </c>
      <c r="G60" s="293"/>
      <c r="H60" s="293"/>
      <c r="I60" s="19">
        <v>3</v>
      </c>
      <c r="J60" s="34">
        <f t="shared" si="8"/>
        <v>0</v>
      </c>
      <c r="K60" s="35">
        <f t="shared" si="9"/>
        <v>0</v>
      </c>
    </row>
    <row r="61" spans="1:12" x14ac:dyDescent="0.2">
      <c r="A61" s="16">
        <v>5600</v>
      </c>
      <c r="B61" s="17">
        <v>2321</v>
      </c>
      <c r="C61" s="63" t="s">
        <v>49</v>
      </c>
      <c r="D61" s="63" t="str">
        <f t="shared" si="10"/>
        <v>214</v>
      </c>
      <c r="E61" s="17">
        <v>2141</v>
      </c>
      <c r="F61" s="18" t="s">
        <v>129</v>
      </c>
      <c r="G61" s="293"/>
      <c r="H61" s="293"/>
      <c r="I61" s="19">
        <v>7</v>
      </c>
      <c r="J61" s="34">
        <f t="shared" si="8"/>
        <v>0</v>
      </c>
      <c r="K61" s="35">
        <f t="shared" si="9"/>
        <v>0</v>
      </c>
    </row>
    <row r="62" spans="1:12" x14ac:dyDescent="0.2">
      <c r="A62" s="95" t="s">
        <v>162</v>
      </c>
      <c r="B62" s="17">
        <v>3612</v>
      </c>
      <c r="C62" s="63" t="s">
        <v>11</v>
      </c>
      <c r="D62" s="9" t="str">
        <f t="shared" si="10"/>
        <v>214</v>
      </c>
      <c r="E62" s="17">
        <v>2141</v>
      </c>
      <c r="F62" s="18" t="s">
        <v>129</v>
      </c>
      <c r="G62" s="293">
        <v>208</v>
      </c>
      <c r="H62" s="293">
        <v>208</v>
      </c>
      <c r="I62" s="19">
        <v>253</v>
      </c>
      <c r="J62" s="34">
        <f t="shared" si="8"/>
        <v>121.63461538461537</v>
      </c>
      <c r="K62" s="35">
        <f t="shared" si="9"/>
        <v>121.63461538461537</v>
      </c>
    </row>
    <row r="63" spans="1:12" x14ac:dyDescent="0.2">
      <c r="A63" s="95" t="s">
        <v>162</v>
      </c>
      <c r="B63" s="17">
        <v>3619</v>
      </c>
      <c r="C63" s="63" t="s">
        <v>130</v>
      </c>
      <c r="D63" s="63" t="str">
        <f t="shared" si="10"/>
        <v>214</v>
      </c>
      <c r="E63" s="17">
        <v>2141</v>
      </c>
      <c r="F63" s="18" t="s">
        <v>129</v>
      </c>
      <c r="G63" s="293">
        <v>1168</v>
      </c>
      <c r="H63" s="293">
        <v>1168</v>
      </c>
      <c r="I63" s="19">
        <v>1055</v>
      </c>
      <c r="J63" s="34">
        <f t="shared" si="8"/>
        <v>90.325342465753423</v>
      </c>
      <c r="K63" s="35">
        <f t="shared" si="9"/>
        <v>90.325342465753423</v>
      </c>
    </row>
    <row r="64" spans="1:12" x14ac:dyDescent="0.2">
      <c r="A64" s="95" t="s">
        <v>271</v>
      </c>
      <c r="B64" s="17">
        <v>6310</v>
      </c>
      <c r="C64" s="63" t="s">
        <v>131</v>
      </c>
      <c r="D64" s="63" t="str">
        <f t="shared" ref="D64" si="11">(MID(E64,1,3))</f>
        <v>214</v>
      </c>
      <c r="E64" s="17">
        <v>2142</v>
      </c>
      <c r="F64" s="18" t="s">
        <v>272</v>
      </c>
      <c r="G64" s="293">
        <v>80000</v>
      </c>
      <c r="H64" s="293">
        <v>80000</v>
      </c>
      <c r="I64" s="19">
        <v>39757</v>
      </c>
      <c r="J64" s="34">
        <f t="shared" ref="J64" si="12">IF(G64&lt;=0,0,$I64/G64*100)</f>
        <v>49.696249999999999</v>
      </c>
      <c r="K64" s="35">
        <f t="shared" ref="K64" si="13">IF(H64&lt;=0,0,$I64/H64*100)</f>
        <v>49.696249999999999</v>
      </c>
      <c r="L64" s="331"/>
    </row>
    <row r="65" spans="1:11" x14ac:dyDescent="0.2">
      <c r="A65" s="95" t="s">
        <v>271</v>
      </c>
      <c r="B65" s="17">
        <v>6310</v>
      </c>
      <c r="C65" s="63" t="s">
        <v>131</v>
      </c>
      <c r="D65" s="63" t="str">
        <f t="shared" si="10"/>
        <v>214</v>
      </c>
      <c r="E65" s="17">
        <v>2143</v>
      </c>
      <c r="F65" s="18" t="s">
        <v>293</v>
      </c>
      <c r="G65" s="293"/>
      <c r="H65" s="293"/>
      <c r="I65" s="19">
        <v>30</v>
      </c>
      <c r="J65" s="34">
        <f t="shared" si="8"/>
        <v>0</v>
      </c>
      <c r="K65" s="35">
        <f t="shared" si="9"/>
        <v>0</v>
      </c>
    </row>
    <row r="66" spans="1:11" ht="13.5" thickBot="1" x14ac:dyDescent="0.25">
      <c r="A66" s="70"/>
      <c r="B66" s="71"/>
      <c r="C66" s="72"/>
      <c r="D66" s="73" t="s">
        <v>209</v>
      </c>
      <c r="E66" s="71"/>
      <c r="F66" s="74"/>
      <c r="G66" s="295">
        <f>SUBTOTAL(9,G59:G65)</f>
        <v>85576</v>
      </c>
      <c r="H66" s="295">
        <f>SUBTOTAL(9,H59:H65)</f>
        <v>85576</v>
      </c>
      <c r="I66" s="75">
        <f>SUBTOTAL(9,I59:I65)</f>
        <v>45822</v>
      </c>
      <c r="J66" s="76">
        <f t="shared" ref="J66:J97" si="14">IF(G66&lt;=0,0,$I66/G66*100)</f>
        <v>53.545386556978592</v>
      </c>
      <c r="K66" s="77">
        <f t="shared" si="9"/>
        <v>53.545386556978592</v>
      </c>
    </row>
    <row r="67" spans="1:11" x14ac:dyDescent="0.2">
      <c r="A67" s="96"/>
      <c r="B67" s="97"/>
      <c r="C67" s="98"/>
      <c r="D67" s="26"/>
      <c r="E67" s="97"/>
      <c r="F67" s="99"/>
      <c r="G67" s="296"/>
      <c r="H67" s="296"/>
      <c r="I67" s="82"/>
      <c r="J67" s="83">
        <f t="shared" si="14"/>
        <v>0</v>
      </c>
      <c r="K67" s="100">
        <f t="shared" si="9"/>
        <v>0</v>
      </c>
    </row>
    <row r="68" spans="1:11" x14ac:dyDescent="0.2">
      <c r="A68" s="101" t="s">
        <v>132</v>
      </c>
      <c r="B68" s="29"/>
      <c r="C68" s="67"/>
      <c r="D68" s="26"/>
      <c r="E68" s="29"/>
      <c r="F68" s="30"/>
      <c r="G68" s="297"/>
      <c r="H68" s="297"/>
      <c r="I68" s="90"/>
      <c r="J68" s="91">
        <f t="shared" si="14"/>
        <v>0</v>
      </c>
      <c r="K68" s="86">
        <f t="shared" si="9"/>
        <v>0</v>
      </c>
    </row>
    <row r="69" spans="1:11" x14ac:dyDescent="0.2">
      <c r="A69" s="16">
        <v>1600</v>
      </c>
      <c r="B69" s="102">
        <v>3809</v>
      </c>
      <c r="C69" s="63" t="s">
        <v>221</v>
      </c>
      <c r="D69" s="9" t="str">
        <f t="shared" ref="D69:D87" si="15">(MID(E69,1,3))</f>
        <v>221</v>
      </c>
      <c r="E69" s="17">
        <v>2212</v>
      </c>
      <c r="F69" s="37" t="s">
        <v>201</v>
      </c>
      <c r="G69" s="293"/>
      <c r="H69" s="293"/>
      <c r="I69" s="66">
        <v>6</v>
      </c>
      <c r="J69" s="34">
        <f t="shared" si="14"/>
        <v>0</v>
      </c>
      <c r="K69" s="35">
        <f t="shared" si="9"/>
        <v>0</v>
      </c>
    </row>
    <row r="70" spans="1:11" x14ac:dyDescent="0.2">
      <c r="A70" s="16">
        <v>3200</v>
      </c>
      <c r="B70" s="102">
        <v>6171</v>
      </c>
      <c r="C70" s="103" t="s">
        <v>9</v>
      </c>
      <c r="D70" s="9" t="str">
        <f t="shared" ref="D70" si="16">(MID(E70,1,3))</f>
        <v>221</v>
      </c>
      <c r="E70" s="17">
        <v>2212</v>
      </c>
      <c r="F70" s="37" t="s">
        <v>201</v>
      </c>
      <c r="G70" s="293">
        <v>40</v>
      </c>
      <c r="H70" s="293">
        <v>40</v>
      </c>
      <c r="I70" s="66">
        <v>74</v>
      </c>
      <c r="J70" s="34">
        <f t="shared" ref="J70" si="17">IF(G70&lt;=0,0,$I70/G70*100)</f>
        <v>185</v>
      </c>
      <c r="K70" s="35">
        <f t="shared" ref="K70" si="18">IF(H70&lt;=0,0,$I70/H70*100)</f>
        <v>185</v>
      </c>
    </row>
    <row r="71" spans="1:11" x14ac:dyDescent="0.2">
      <c r="A71" s="16">
        <v>3800</v>
      </c>
      <c r="B71" s="17">
        <v>6171</v>
      </c>
      <c r="C71" s="63" t="s">
        <v>9</v>
      </c>
      <c r="D71" s="9" t="str">
        <f t="shared" si="15"/>
        <v>221</v>
      </c>
      <c r="E71" s="17">
        <v>2212</v>
      </c>
      <c r="F71" s="37" t="s">
        <v>201</v>
      </c>
      <c r="G71" s="293">
        <v>1200</v>
      </c>
      <c r="H71" s="293">
        <v>1200</v>
      </c>
      <c r="I71" s="66">
        <v>800</v>
      </c>
      <c r="J71" s="34">
        <f t="shared" si="14"/>
        <v>66.666666666666657</v>
      </c>
      <c r="K71" s="35">
        <f t="shared" si="9"/>
        <v>66.666666666666657</v>
      </c>
    </row>
    <row r="72" spans="1:11" x14ac:dyDescent="0.2">
      <c r="A72" s="16">
        <v>4200</v>
      </c>
      <c r="B72" s="17">
        <v>3745</v>
      </c>
      <c r="C72" s="67" t="s">
        <v>2</v>
      </c>
      <c r="D72" s="9" t="str">
        <f t="shared" ref="D72" si="19">(MID(E72,1,3))</f>
        <v>221</v>
      </c>
      <c r="E72" s="17">
        <v>2212</v>
      </c>
      <c r="F72" s="37" t="s">
        <v>201</v>
      </c>
      <c r="G72" s="293"/>
      <c r="H72" s="293"/>
      <c r="I72" s="66">
        <v>3</v>
      </c>
      <c r="J72" s="34"/>
      <c r="K72" s="35"/>
    </row>
    <row r="73" spans="1:11" x14ac:dyDescent="0.2">
      <c r="A73" s="16">
        <v>4200</v>
      </c>
      <c r="B73" s="17">
        <v>3769</v>
      </c>
      <c r="C73" s="63" t="s">
        <v>256</v>
      </c>
      <c r="D73" s="9" t="str">
        <f t="shared" si="15"/>
        <v>221</v>
      </c>
      <c r="E73" s="17">
        <v>2212</v>
      </c>
      <c r="F73" s="37" t="s">
        <v>201</v>
      </c>
      <c r="G73" s="293">
        <v>400</v>
      </c>
      <c r="H73" s="293">
        <v>400</v>
      </c>
      <c r="I73" s="19">
        <v>555</v>
      </c>
      <c r="J73" s="34">
        <f t="shared" si="14"/>
        <v>138.75</v>
      </c>
      <c r="K73" s="35">
        <f t="shared" si="9"/>
        <v>138.75</v>
      </c>
    </row>
    <row r="74" spans="1:11" x14ac:dyDescent="0.2">
      <c r="A74" s="16">
        <v>4300</v>
      </c>
      <c r="B74" s="17">
        <v>1037</v>
      </c>
      <c r="C74" s="63" t="s">
        <v>282</v>
      </c>
      <c r="D74" s="9" t="str">
        <f t="shared" ref="D74" si="20">(MID(E74,1,3))</f>
        <v>221</v>
      </c>
      <c r="E74" s="17">
        <v>2212</v>
      </c>
      <c r="F74" s="37" t="s">
        <v>201</v>
      </c>
      <c r="G74" s="293"/>
      <c r="H74" s="293"/>
      <c r="I74" s="19">
        <v>50</v>
      </c>
      <c r="J74" s="34">
        <f t="shared" si="14"/>
        <v>0</v>
      </c>
      <c r="K74" s="35">
        <f t="shared" si="9"/>
        <v>0</v>
      </c>
    </row>
    <row r="75" spans="1:11" x14ac:dyDescent="0.2">
      <c r="A75" s="28">
        <v>4300</v>
      </c>
      <c r="B75" s="29">
        <v>2399</v>
      </c>
      <c r="C75" s="67" t="s">
        <v>133</v>
      </c>
      <c r="D75" s="9" t="str">
        <f t="shared" si="15"/>
        <v>221</v>
      </c>
      <c r="E75" s="17">
        <v>2212</v>
      </c>
      <c r="F75" s="37" t="s">
        <v>201</v>
      </c>
      <c r="G75" s="294">
        <v>100</v>
      </c>
      <c r="H75" s="294">
        <v>100</v>
      </c>
      <c r="I75" s="31">
        <v>130</v>
      </c>
      <c r="J75" s="34">
        <f t="shared" si="14"/>
        <v>130</v>
      </c>
      <c r="K75" s="35">
        <f t="shared" si="9"/>
        <v>130</v>
      </c>
    </row>
    <row r="76" spans="1:11" x14ac:dyDescent="0.2">
      <c r="A76" s="28">
        <v>5400</v>
      </c>
      <c r="B76" s="29">
        <v>2219</v>
      </c>
      <c r="C76" s="67" t="s">
        <v>50</v>
      </c>
      <c r="D76" s="9" t="str">
        <f t="shared" si="15"/>
        <v>221</v>
      </c>
      <c r="E76" s="17">
        <v>2212</v>
      </c>
      <c r="F76" s="37" t="s">
        <v>201</v>
      </c>
      <c r="G76" s="294">
        <v>700</v>
      </c>
      <c r="H76" s="294">
        <v>700</v>
      </c>
      <c r="I76" s="31">
        <v>767</v>
      </c>
      <c r="J76" s="34">
        <f t="shared" si="14"/>
        <v>109.57142857142857</v>
      </c>
      <c r="K76" s="35">
        <f t="shared" si="9"/>
        <v>109.57142857142857</v>
      </c>
    </row>
    <row r="77" spans="1:11" x14ac:dyDescent="0.2">
      <c r="A77" s="28">
        <v>5600</v>
      </c>
      <c r="B77" s="29">
        <v>2212</v>
      </c>
      <c r="C77" s="67" t="s">
        <v>18</v>
      </c>
      <c r="D77" s="9" t="str">
        <f>(MID(E77,1,3))</f>
        <v>221</v>
      </c>
      <c r="E77" s="17">
        <v>2212</v>
      </c>
      <c r="F77" s="37" t="s">
        <v>201</v>
      </c>
      <c r="G77" s="294"/>
      <c r="H77" s="294"/>
      <c r="I77" s="31">
        <v>361</v>
      </c>
      <c r="J77" s="34">
        <f t="shared" si="14"/>
        <v>0</v>
      </c>
      <c r="K77" s="35">
        <f t="shared" si="9"/>
        <v>0</v>
      </c>
    </row>
    <row r="78" spans="1:11" x14ac:dyDescent="0.2">
      <c r="A78" s="28">
        <v>5600</v>
      </c>
      <c r="B78" s="29">
        <v>2321</v>
      </c>
      <c r="C78" s="63" t="s">
        <v>49</v>
      </c>
      <c r="D78" s="9" t="str">
        <f>(MID(E78,1,3))</f>
        <v>221</v>
      </c>
      <c r="E78" s="17">
        <v>2212</v>
      </c>
      <c r="F78" s="37" t="s">
        <v>201</v>
      </c>
      <c r="G78" s="294"/>
      <c r="H78" s="294"/>
      <c r="I78" s="31">
        <v>94</v>
      </c>
      <c r="J78" s="34">
        <f t="shared" si="14"/>
        <v>0</v>
      </c>
      <c r="K78" s="35">
        <f t="shared" si="9"/>
        <v>0</v>
      </c>
    </row>
    <row r="79" spans="1:11" x14ac:dyDescent="0.2">
      <c r="A79" s="28">
        <v>5600</v>
      </c>
      <c r="B79" s="29">
        <v>3111</v>
      </c>
      <c r="C79" s="67" t="s">
        <v>91</v>
      </c>
      <c r="D79" s="9" t="str">
        <f t="shared" si="15"/>
        <v>221</v>
      </c>
      <c r="E79" s="17">
        <v>2212</v>
      </c>
      <c r="F79" s="37" t="s">
        <v>201</v>
      </c>
      <c r="G79" s="294"/>
      <c r="H79" s="294">
        <v>29</v>
      </c>
      <c r="I79" s="31">
        <v>29</v>
      </c>
      <c r="J79" s="34">
        <f t="shared" si="14"/>
        <v>0</v>
      </c>
      <c r="K79" s="35">
        <f t="shared" si="9"/>
        <v>100</v>
      </c>
    </row>
    <row r="80" spans="1:11" x14ac:dyDescent="0.2">
      <c r="A80" s="28">
        <v>5600</v>
      </c>
      <c r="B80" s="29">
        <v>3113</v>
      </c>
      <c r="C80" s="67" t="s">
        <v>22</v>
      </c>
      <c r="D80" s="9" t="str">
        <f t="shared" ref="D80" si="21">(MID(E80,1,3))</f>
        <v>221</v>
      </c>
      <c r="E80" s="17">
        <v>2212</v>
      </c>
      <c r="F80" s="37" t="s">
        <v>201</v>
      </c>
      <c r="G80" s="294"/>
      <c r="H80" s="294"/>
      <c r="I80" s="31">
        <v>118</v>
      </c>
      <c r="J80" s="34">
        <f t="shared" si="14"/>
        <v>0</v>
      </c>
      <c r="K80" s="35"/>
    </row>
    <row r="81" spans="1:12" x14ac:dyDescent="0.2">
      <c r="A81" s="28">
        <v>5600</v>
      </c>
      <c r="B81" s="29">
        <v>3311</v>
      </c>
      <c r="C81" s="67" t="s">
        <v>23</v>
      </c>
      <c r="D81" s="9" t="str">
        <f t="shared" ref="D81" si="22">(MID(E81,1,3))</f>
        <v>221</v>
      </c>
      <c r="E81" s="17">
        <v>2212</v>
      </c>
      <c r="F81" s="37" t="s">
        <v>201</v>
      </c>
      <c r="G81" s="294"/>
      <c r="H81" s="294"/>
      <c r="I81" s="31">
        <v>10</v>
      </c>
      <c r="J81" s="34">
        <f t="shared" si="14"/>
        <v>0</v>
      </c>
      <c r="K81" s="35">
        <f t="shared" si="9"/>
        <v>0</v>
      </c>
    </row>
    <row r="82" spans="1:12" x14ac:dyDescent="0.2">
      <c r="A82" s="28">
        <v>5600</v>
      </c>
      <c r="B82" s="29">
        <v>3792</v>
      </c>
      <c r="C82" s="67" t="s">
        <v>8</v>
      </c>
      <c r="D82" s="9" t="str">
        <f t="shared" ref="D82" si="23">(MID(E82,1,3))</f>
        <v>221</v>
      </c>
      <c r="E82" s="17">
        <v>2212</v>
      </c>
      <c r="F82" s="37" t="s">
        <v>201</v>
      </c>
      <c r="G82" s="294"/>
      <c r="H82" s="294"/>
      <c r="I82" s="31">
        <v>42</v>
      </c>
      <c r="J82" s="34">
        <f t="shared" si="14"/>
        <v>0</v>
      </c>
      <c r="K82" s="35">
        <f t="shared" si="9"/>
        <v>0</v>
      </c>
    </row>
    <row r="83" spans="1:12" x14ac:dyDescent="0.2">
      <c r="A83" s="28">
        <v>5800</v>
      </c>
      <c r="B83" s="94">
        <v>2219</v>
      </c>
      <c r="C83" s="67" t="s">
        <v>50</v>
      </c>
      <c r="D83" s="9" t="str">
        <f t="shared" si="15"/>
        <v>221</v>
      </c>
      <c r="E83" s="17">
        <v>2212</v>
      </c>
      <c r="F83" s="37" t="s">
        <v>201</v>
      </c>
      <c r="G83" s="294">
        <v>15000</v>
      </c>
      <c r="H83" s="294">
        <v>15000</v>
      </c>
      <c r="I83" s="31">
        <v>22143</v>
      </c>
      <c r="J83" s="34">
        <f t="shared" si="14"/>
        <v>147.62</v>
      </c>
      <c r="K83" s="35">
        <f t="shared" si="9"/>
        <v>147.62</v>
      </c>
      <c r="L83" s="331"/>
    </row>
    <row r="84" spans="1:12" x14ac:dyDescent="0.2">
      <c r="A84" s="28">
        <v>5900</v>
      </c>
      <c r="B84" s="29">
        <v>3421</v>
      </c>
      <c r="C84" s="69" t="s">
        <v>90</v>
      </c>
      <c r="D84" s="9" t="str">
        <f t="shared" si="15"/>
        <v>221</v>
      </c>
      <c r="E84" s="17">
        <v>2212</v>
      </c>
      <c r="F84" s="37" t="s">
        <v>201</v>
      </c>
      <c r="G84" s="294"/>
      <c r="H84" s="294">
        <v>135</v>
      </c>
      <c r="I84" s="31">
        <v>135</v>
      </c>
      <c r="J84" s="34">
        <f t="shared" si="14"/>
        <v>0</v>
      </c>
      <c r="K84" s="35">
        <f t="shared" si="9"/>
        <v>100</v>
      </c>
    </row>
    <row r="85" spans="1:12" x14ac:dyDescent="0.2">
      <c r="A85" s="28">
        <v>5900</v>
      </c>
      <c r="B85" s="94">
        <v>3745</v>
      </c>
      <c r="C85" s="67" t="s">
        <v>2</v>
      </c>
      <c r="D85" s="9" t="str">
        <f t="shared" si="15"/>
        <v>221</v>
      </c>
      <c r="E85" s="17">
        <v>2212</v>
      </c>
      <c r="F85" s="37" t="s">
        <v>201</v>
      </c>
      <c r="G85" s="294"/>
      <c r="H85" s="294">
        <v>64</v>
      </c>
      <c r="I85" s="31">
        <v>64</v>
      </c>
      <c r="J85" s="34">
        <f t="shared" si="14"/>
        <v>0</v>
      </c>
      <c r="K85" s="35">
        <f t="shared" si="9"/>
        <v>100</v>
      </c>
    </row>
    <row r="86" spans="1:12" x14ac:dyDescent="0.2">
      <c r="A86" s="28">
        <v>6300</v>
      </c>
      <c r="B86" s="94">
        <v>3639</v>
      </c>
      <c r="C86" s="67" t="s">
        <v>119</v>
      </c>
      <c r="D86" s="9" t="str">
        <f t="shared" si="15"/>
        <v>221</v>
      </c>
      <c r="E86" s="17">
        <v>2212</v>
      </c>
      <c r="F86" s="37" t="s">
        <v>201</v>
      </c>
      <c r="G86" s="294">
        <v>300</v>
      </c>
      <c r="H86" s="294">
        <v>300</v>
      </c>
      <c r="I86" s="31">
        <v>764</v>
      </c>
      <c r="J86" s="34">
        <f t="shared" si="14"/>
        <v>254.66666666666669</v>
      </c>
      <c r="K86" s="35">
        <f t="shared" si="9"/>
        <v>254.66666666666669</v>
      </c>
    </row>
    <row r="87" spans="1:12" x14ac:dyDescent="0.2">
      <c r="A87" s="28">
        <v>6500</v>
      </c>
      <c r="B87" s="17">
        <v>6171</v>
      </c>
      <c r="C87" s="63" t="s">
        <v>9</v>
      </c>
      <c r="D87" s="9" t="str">
        <f t="shared" si="15"/>
        <v>221</v>
      </c>
      <c r="E87" s="17">
        <v>2212</v>
      </c>
      <c r="F87" s="37" t="s">
        <v>201</v>
      </c>
      <c r="G87" s="294">
        <v>1600</v>
      </c>
      <c r="H87" s="294">
        <v>1600</v>
      </c>
      <c r="I87" s="31">
        <v>1756</v>
      </c>
      <c r="J87" s="34">
        <f t="shared" si="14"/>
        <v>109.74999999999999</v>
      </c>
      <c r="K87" s="35">
        <f t="shared" si="9"/>
        <v>109.74999999999999</v>
      </c>
    </row>
    <row r="88" spans="1:12" x14ac:dyDescent="0.2">
      <c r="A88" s="28">
        <v>6600</v>
      </c>
      <c r="B88" s="17">
        <v>6171</v>
      </c>
      <c r="C88" s="63" t="s">
        <v>9</v>
      </c>
      <c r="D88" s="9" t="str">
        <f t="shared" ref="D88:D98" si="24">(MID(E88,1,3))</f>
        <v>221</v>
      </c>
      <c r="E88" s="17">
        <v>2212</v>
      </c>
      <c r="F88" s="37" t="s">
        <v>201</v>
      </c>
      <c r="G88" s="294"/>
      <c r="H88" s="294"/>
      <c r="I88" s="31">
        <v>2</v>
      </c>
      <c r="J88" s="34">
        <f t="shared" si="14"/>
        <v>0</v>
      </c>
      <c r="K88" s="35">
        <f t="shared" si="9"/>
        <v>0</v>
      </c>
    </row>
    <row r="89" spans="1:12" x14ac:dyDescent="0.2">
      <c r="A89" s="28">
        <v>6700</v>
      </c>
      <c r="B89" s="17">
        <v>3419</v>
      </c>
      <c r="C89" s="30" t="s">
        <v>46</v>
      </c>
      <c r="D89" s="9" t="str">
        <f t="shared" ref="D89" si="25">(MID(E89,1,3))</f>
        <v>221</v>
      </c>
      <c r="E89" s="17">
        <v>2212</v>
      </c>
      <c r="F89" s="37" t="s">
        <v>201</v>
      </c>
      <c r="G89" s="294"/>
      <c r="H89" s="294"/>
      <c r="I89" s="31">
        <v>18</v>
      </c>
      <c r="J89" s="34">
        <f t="shared" si="14"/>
        <v>0</v>
      </c>
      <c r="K89" s="35">
        <f t="shared" si="9"/>
        <v>0</v>
      </c>
    </row>
    <row r="90" spans="1:12" x14ac:dyDescent="0.2">
      <c r="A90" s="28">
        <v>7100</v>
      </c>
      <c r="B90" s="17">
        <v>3511</v>
      </c>
      <c r="C90" s="69" t="s">
        <v>12</v>
      </c>
      <c r="D90" s="9" t="str">
        <f t="shared" ref="D90" si="26">(MID(E90,1,3))</f>
        <v>221</v>
      </c>
      <c r="E90" s="17">
        <v>2212</v>
      </c>
      <c r="F90" s="37" t="s">
        <v>201</v>
      </c>
      <c r="G90" s="294"/>
      <c r="H90" s="294"/>
      <c r="I90" s="31">
        <v>1</v>
      </c>
      <c r="J90" s="34">
        <f t="shared" si="14"/>
        <v>0</v>
      </c>
      <c r="K90" s="35">
        <f t="shared" si="9"/>
        <v>0</v>
      </c>
    </row>
    <row r="91" spans="1:12" x14ac:dyDescent="0.2">
      <c r="A91" s="28">
        <v>7300</v>
      </c>
      <c r="B91" s="17">
        <v>3311</v>
      </c>
      <c r="C91" s="63" t="s">
        <v>23</v>
      </c>
      <c r="D91" s="9" t="str">
        <f t="shared" si="24"/>
        <v>221</v>
      </c>
      <c r="E91" s="17">
        <v>2212</v>
      </c>
      <c r="F91" s="37" t="s">
        <v>201</v>
      </c>
      <c r="G91" s="294"/>
      <c r="H91" s="294">
        <v>44</v>
      </c>
      <c r="I91" s="31">
        <v>45</v>
      </c>
      <c r="J91" s="34">
        <f t="shared" si="14"/>
        <v>0</v>
      </c>
      <c r="K91" s="35">
        <f t="shared" si="9"/>
        <v>102.27272727272727</v>
      </c>
    </row>
    <row r="92" spans="1:12" x14ac:dyDescent="0.2">
      <c r="A92" s="28">
        <v>7300</v>
      </c>
      <c r="B92" s="17">
        <v>3314</v>
      </c>
      <c r="C92" s="63" t="s">
        <v>86</v>
      </c>
      <c r="D92" s="9" t="str">
        <f t="shared" si="24"/>
        <v>221</v>
      </c>
      <c r="E92" s="17">
        <v>2212</v>
      </c>
      <c r="F92" s="37" t="s">
        <v>201</v>
      </c>
      <c r="G92" s="294"/>
      <c r="H92" s="294">
        <v>8</v>
      </c>
      <c r="I92" s="31">
        <v>9</v>
      </c>
      <c r="J92" s="34">
        <f t="shared" si="14"/>
        <v>0</v>
      </c>
      <c r="K92" s="35">
        <f t="shared" si="9"/>
        <v>112.5</v>
      </c>
    </row>
    <row r="93" spans="1:12" x14ac:dyDescent="0.2">
      <c r="A93" s="28">
        <v>7300</v>
      </c>
      <c r="B93" s="17">
        <v>3316</v>
      </c>
      <c r="C93" s="115" t="s">
        <v>263</v>
      </c>
      <c r="D93" s="9" t="str">
        <f t="shared" ref="D93:D94" si="27">(MID(E93,1,3))</f>
        <v>221</v>
      </c>
      <c r="E93" s="17">
        <v>2212</v>
      </c>
      <c r="F93" s="37" t="s">
        <v>201</v>
      </c>
      <c r="G93" s="294"/>
      <c r="H93" s="294"/>
      <c r="I93" s="31">
        <v>100</v>
      </c>
      <c r="J93" s="34">
        <f t="shared" si="14"/>
        <v>0</v>
      </c>
      <c r="K93" s="35">
        <f t="shared" si="9"/>
        <v>0</v>
      </c>
    </row>
    <row r="94" spans="1:12" x14ac:dyDescent="0.2">
      <c r="A94" s="28">
        <v>7300</v>
      </c>
      <c r="B94" s="17">
        <v>3317</v>
      </c>
      <c r="C94" s="115" t="s">
        <v>88</v>
      </c>
      <c r="D94" s="9" t="str">
        <f t="shared" si="27"/>
        <v>221</v>
      </c>
      <c r="E94" s="17">
        <v>2212</v>
      </c>
      <c r="F94" s="37" t="s">
        <v>201</v>
      </c>
      <c r="G94" s="294"/>
      <c r="H94" s="294"/>
      <c r="I94" s="31">
        <v>5</v>
      </c>
      <c r="J94" s="34">
        <f t="shared" si="14"/>
        <v>0</v>
      </c>
      <c r="K94" s="35">
        <f t="shared" si="9"/>
        <v>0</v>
      </c>
    </row>
    <row r="95" spans="1:12" x14ac:dyDescent="0.2">
      <c r="A95" s="28">
        <v>7300</v>
      </c>
      <c r="B95" s="29">
        <v>3319</v>
      </c>
      <c r="C95" s="87" t="s">
        <v>45</v>
      </c>
      <c r="D95" s="9" t="str">
        <f t="shared" si="24"/>
        <v>221</v>
      </c>
      <c r="E95" s="17">
        <v>2212</v>
      </c>
      <c r="F95" s="37" t="s">
        <v>201</v>
      </c>
      <c r="G95" s="294">
        <v>50</v>
      </c>
      <c r="H95" s="294">
        <v>50</v>
      </c>
      <c r="I95" s="31"/>
      <c r="J95" s="34">
        <f t="shared" si="14"/>
        <v>0</v>
      </c>
      <c r="K95" s="35">
        <f t="shared" si="9"/>
        <v>0</v>
      </c>
    </row>
    <row r="96" spans="1:12" x14ac:dyDescent="0.2">
      <c r="A96" s="28">
        <v>7300</v>
      </c>
      <c r="B96" s="29">
        <v>3326</v>
      </c>
      <c r="C96" s="115" t="s">
        <v>160</v>
      </c>
      <c r="D96" s="9" t="str">
        <f t="shared" ref="D96" si="28">(MID(E96,1,3))</f>
        <v>221</v>
      </c>
      <c r="E96" s="17">
        <v>2212</v>
      </c>
      <c r="F96" s="37" t="s">
        <v>201</v>
      </c>
      <c r="G96" s="294"/>
      <c r="H96" s="294"/>
      <c r="I96" s="31">
        <v>41</v>
      </c>
      <c r="J96" s="34"/>
      <c r="K96" s="35"/>
    </row>
    <row r="97" spans="1:12" x14ac:dyDescent="0.2">
      <c r="A97" s="28">
        <v>7500</v>
      </c>
      <c r="B97" s="29">
        <v>3322</v>
      </c>
      <c r="C97" s="67" t="s">
        <v>26</v>
      </c>
      <c r="D97" s="63" t="str">
        <f t="shared" si="24"/>
        <v>221</v>
      </c>
      <c r="E97" s="17">
        <v>2212</v>
      </c>
      <c r="F97" s="37" t="s">
        <v>201</v>
      </c>
      <c r="G97" s="294">
        <v>145</v>
      </c>
      <c r="H97" s="294">
        <v>145</v>
      </c>
      <c r="I97" s="31">
        <v>200</v>
      </c>
      <c r="J97" s="34">
        <f t="shared" si="14"/>
        <v>137.93103448275863</v>
      </c>
      <c r="K97" s="35">
        <f t="shared" si="9"/>
        <v>137.93103448275863</v>
      </c>
    </row>
    <row r="98" spans="1:12" x14ac:dyDescent="0.2">
      <c r="A98" s="28">
        <v>8200</v>
      </c>
      <c r="B98" s="29">
        <v>5311</v>
      </c>
      <c r="C98" s="67" t="s">
        <v>84</v>
      </c>
      <c r="D98" s="63" t="str">
        <f t="shared" si="24"/>
        <v>221</v>
      </c>
      <c r="E98" s="17">
        <v>2212</v>
      </c>
      <c r="F98" s="37" t="s">
        <v>201</v>
      </c>
      <c r="G98" s="294">
        <v>28000</v>
      </c>
      <c r="H98" s="294">
        <v>28000</v>
      </c>
      <c r="I98" s="31">
        <v>27950</v>
      </c>
      <c r="J98" s="34">
        <f t="shared" ref="J98:J118" si="29">IF(G98&lt;=0,0,$I98/G98*100)</f>
        <v>99.821428571428569</v>
      </c>
      <c r="K98" s="35">
        <f t="shared" ref="K98:K118" si="30">IF(H98&lt;=0,0,$I98/H98*100)</f>
        <v>99.821428571428569</v>
      </c>
    </row>
    <row r="99" spans="1:12" ht="13.5" thickBot="1" x14ac:dyDescent="0.25">
      <c r="A99" s="70"/>
      <c r="B99" s="71"/>
      <c r="C99" s="72"/>
      <c r="D99" s="73" t="s">
        <v>134</v>
      </c>
      <c r="E99" s="71"/>
      <c r="F99" s="74"/>
      <c r="G99" s="295">
        <f>SUBTOTAL(9,G69:G98)</f>
        <v>47535</v>
      </c>
      <c r="H99" s="295">
        <f>SUBTOTAL(9,H69:H98)</f>
        <v>47815</v>
      </c>
      <c r="I99" s="75">
        <f>SUBTOTAL(9,I69:I98)</f>
        <v>56272</v>
      </c>
      <c r="J99" s="76">
        <f t="shared" si="29"/>
        <v>118.38014094877458</v>
      </c>
      <c r="K99" s="77">
        <f t="shared" si="30"/>
        <v>117.68691833106766</v>
      </c>
    </row>
    <row r="100" spans="1:12" x14ac:dyDescent="0.2">
      <c r="A100" s="28"/>
      <c r="B100" s="29"/>
      <c r="C100" s="67"/>
      <c r="D100" s="26"/>
      <c r="E100" s="29"/>
      <c r="F100" s="30"/>
      <c r="G100" s="297"/>
      <c r="H100" s="297"/>
      <c r="I100" s="90"/>
      <c r="J100" s="106">
        <f t="shared" si="29"/>
        <v>0</v>
      </c>
      <c r="K100" s="107">
        <f t="shared" si="30"/>
        <v>0</v>
      </c>
    </row>
    <row r="101" spans="1:12" x14ac:dyDescent="0.2">
      <c r="A101" s="101" t="s">
        <v>135</v>
      </c>
      <c r="B101" s="29"/>
      <c r="C101" s="67"/>
      <c r="D101" s="26"/>
      <c r="E101" s="29"/>
      <c r="F101" s="30"/>
      <c r="G101" s="297"/>
      <c r="H101" s="297"/>
      <c r="I101" s="90"/>
      <c r="J101" s="34">
        <f t="shared" si="29"/>
        <v>0</v>
      </c>
      <c r="K101" s="35">
        <f t="shared" si="30"/>
        <v>0</v>
      </c>
    </row>
    <row r="102" spans="1:12" x14ac:dyDescent="0.2">
      <c r="A102" s="16">
        <v>1600</v>
      </c>
      <c r="B102" s="29">
        <v>3809</v>
      </c>
      <c r="C102" s="63" t="s">
        <v>221</v>
      </c>
      <c r="D102" s="9" t="str">
        <f t="shared" ref="D102:D111" si="31">(MID(E102,1,3))</f>
        <v>222</v>
      </c>
      <c r="E102" s="29">
        <v>2223</v>
      </c>
      <c r="F102" s="18" t="s">
        <v>290</v>
      </c>
      <c r="G102" s="297"/>
      <c r="H102" s="292"/>
      <c r="I102" s="19">
        <v>4701</v>
      </c>
      <c r="J102" s="34">
        <f t="shared" si="29"/>
        <v>0</v>
      </c>
      <c r="K102" s="35">
        <f t="shared" si="30"/>
        <v>0</v>
      </c>
      <c r="L102" s="331"/>
    </row>
    <row r="103" spans="1:12" x14ac:dyDescent="0.2">
      <c r="A103" s="16">
        <v>1600</v>
      </c>
      <c r="B103" s="29">
        <v>3809</v>
      </c>
      <c r="C103" s="63" t="s">
        <v>221</v>
      </c>
      <c r="D103" s="9" t="str">
        <f t="shared" si="31"/>
        <v>222</v>
      </c>
      <c r="E103" s="29">
        <v>2229</v>
      </c>
      <c r="F103" s="18" t="s">
        <v>136</v>
      </c>
      <c r="G103" s="297"/>
      <c r="H103" s="292"/>
      <c r="I103" s="19">
        <v>292</v>
      </c>
      <c r="J103" s="34">
        <f t="shared" si="29"/>
        <v>0</v>
      </c>
      <c r="K103" s="35">
        <f t="shared" si="30"/>
        <v>0</v>
      </c>
    </row>
    <row r="104" spans="1:12" x14ac:dyDescent="0.2">
      <c r="A104" s="16">
        <v>1700</v>
      </c>
      <c r="B104" s="29">
        <v>6402</v>
      </c>
      <c r="C104" s="63" t="s">
        <v>92</v>
      </c>
      <c r="D104" s="9" t="str">
        <f t="shared" si="31"/>
        <v>222</v>
      </c>
      <c r="E104" s="29">
        <v>2229</v>
      </c>
      <c r="F104" s="18" t="s">
        <v>136</v>
      </c>
      <c r="G104" s="297"/>
      <c r="H104" s="292">
        <v>2632</v>
      </c>
      <c r="I104" s="19">
        <v>2632</v>
      </c>
      <c r="J104" s="34">
        <f t="shared" si="29"/>
        <v>0</v>
      </c>
      <c r="K104" s="35">
        <f t="shared" si="30"/>
        <v>100</v>
      </c>
    </row>
    <row r="105" spans="1:12" x14ac:dyDescent="0.2">
      <c r="A105" s="16">
        <v>5900</v>
      </c>
      <c r="B105" s="29">
        <v>3314</v>
      </c>
      <c r="C105" s="63" t="s">
        <v>86</v>
      </c>
      <c r="D105" s="9" t="str">
        <f t="shared" ref="D105" si="32">(MID(E105,1,3))</f>
        <v>222</v>
      </c>
      <c r="E105" s="29">
        <v>2229</v>
      </c>
      <c r="F105" s="18" t="s">
        <v>136</v>
      </c>
      <c r="G105" s="297"/>
      <c r="H105" s="292">
        <v>100</v>
      </c>
      <c r="I105" s="19">
        <v>100</v>
      </c>
      <c r="J105" s="34">
        <f t="shared" si="29"/>
        <v>0</v>
      </c>
      <c r="K105" s="35">
        <f t="shared" si="30"/>
        <v>100</v>
      </c>
    </row>
    <row r="106" spans="1:12" x14ac:dyDescent="0.2">
      <c r="A106" s="16">
        <v>5900</v>
      </c>
      <c r="B106" s="29">
        <v>3421</v>
      </c>
      <c r="C106" s="69" t="s">
        <v>90</v>
      </c>
      <c r="D106" s="9" t="str">
        <f t="shared" si="31"/>
        <v>222</v>
      </c>
      <c r="E106" s="29">
        <v>2229</v>
      </c>
      <c r="F106" s="18" t="s">
        <v>136</v>
      </c>
      <c r="G106" s="297"/>
      <c r="H106" s="292">
        <v>474</v>
      </c>
      <c r="I106" s="19">
        <v>473</v>
      </c>
      <c r="J106" s="34">
        <f t="shared" si="29"/>
        <v>0</v>
      </c>
      <c r="K106" s="35">
        <f t="shared" si="30"/>
        <v>99.789029535864984</v>
      </c>
    </row>
    <row r="107" spans="1:12" x14ac:dyDescent="0.2">
      <c r="A107" s="16">
        <v>5900</v>
      </c>
      <c r="B107" s="29">
        <v>3745</v>
      </c>
      <c r="C107" s="69" t="s">
        <v>2</v>
      </c>
      <c r="D107" s="9" t="str">
        <f t="shared" ref="D107" si="33">(MID(E107,1,3))</f>
        <v>222</v>
      </c>
      <c r="E107" s="29">
        <v>2229</v>
      </c>
      <c r="F107" s="18" t="s">
        <v>136</v>
      </c>
      <c r="G107" s="297"/>
      <c r="H107" s="292">
        <v>1007</v>
      </c>
      <c r="I107" s="19">
        <v>1006</v>
      </c>
      <c r="J107" s="34">
        <f t="shared" si="29"/>
        <v>0</v>
      </c>
      <c r="K107" s="35">
        <f t="shared" si="30"/>
        <v>99.900695134061564</v>
      </c>
    </row>
    <row r="108" spans="1:12" x14ac:dyDescent="0.2">
      <c r="A108" s="16">
        <v>6700</v>
      </c>
      <c r="B108" s="29">
        <v>3113</v>
      </c>
      <c r="C108" s="63" t="s">
        <v>22</v>
      </c>
      <c r="D108" s="9" t="str">
        <f t="shared" si="31"/>
        <v>222</v>
      </c>
      <c r="E108" s="29">
        <v>2229</v>
      </c>
      <c r="F108" s="18" t="s">
        <v>136</v>
      </c>
      <c r="G108" s="297"/>
      <c r="H108" s="292">
        <v>771</v>
      </c>
      <c r="I108" s="19">
        <v>771</v>
      </c>
      <c r="J108" s="34">
        <f t="shared" si="29"/>
        <v>0</v>
      </c>
      <c r="K108" s="35">
        <f t="shared" si="30"/>
        <v>100</v>
      </c>
    </row>
    <row r="109" spans="1:12" x14ac:dyDescent="0.2">
      <c r="A109" s="16">
        <v>6700</v>
      </c>
      <c r="B109" s="29">
        <v>6402</v>
      </c>
      <c r="C109" s="63" t="s">
        <v>92</v>
      </c>
      <c r="D109" s="9" t="str">
        <f t="shared" si="31"/>
        <v>222</v>
      </c>
      <c r="E109" s="29">
        <v>2229</v>
      </c>
      <c r="F109" s="18" t="s">
        <v>136</v>
      </c>
      <c r="G109" s="297"/>
      <c r="H109" s="292">
        <v>11</v>
      </c>
      <c r="I109" s="19">
        <v>11</v>
      </c>
      <c r="J109" s="34">
        <f t="shared" si="29"/>
        <v>0</v>
      </c>
      <c r="K109" s="35">
        <f t="shared" si="30"/>
        <v>100</v>
      </c>
    </row>
    <row r="110" spans="1:12" x14ac:dyDescent="0.2">
      <c r="A110" s="16">
        <v>7200</v>
      </c>
      <c r="B110" s="29">
        <v>6171</v>
      </c>
      <c r="C110" s="30" t="s">
        <v>9</v>
      </c>
      <c r="D110" s="9" t="str">
        <f t="shared" si="31"/>
        <v>222</v>
      </c>
      <c r="E110" s="29">
        <v>2229</v>
      </c>
      <c r="F110" s="18" t="s">
        <v>136</v>
      </c>
      <c r="G110" s="297"/>
      <c r="H110" s="292"/>
      <c r="I110" s="19">
        <v>32</v>
      </c>
      <c r="J110" s="34">
        <f t="shared" si="29"/>
        <v>0</v>
      </c>
      <c r="K110" s="35">
        <f t="shared" si="30"/>
        <v>0</v>
      </c>
    </row>
    <row r="111" spans="1:12" x14ac:dyDescent="0.2">
      <c r="A111" s="39">
        <v>7300</v>
      </c>
      <c r="B111" s="143">
        <v>3312</v>
      </c>
      <c r="C111" s="290" t="s">
        <v>85</v>
      </c>
      <c r="D111" s="9" t="str">
        <f t="shared" si="31"/>
        <v>222</v>
      </c>
      <c r="E111" s="29">
        <v>2229</v>
      </c>
      <c r="F111" s="18" t="s">
        <v>136</v>
      </c>
      <c r="G111" s="298"/>
      <c r="H111" s="299">
        <v>705</v>
      </c>
      <c r="I111" s="118">
        <v>705</v>
      </c>
      <c r="J111" s="34">
        <f t="shared" si="29"/>
        <v>0</v>
      </c>
      <c r="K111" s="35">
        <f t="shared" si="30"/>
        <v>100</v>
      </c>
    </row>
    <row r="112" spans="1:12" x14ac:dyDescent="0.2">
      <c r="A112" s="39">
        <v>7300</v>
      </c>
      <c r="B112" s="143">
        <v>3315</v>
      </c>
      <c r="C112" s="290" t="s">
        <v>87</v>
      </c>
      <c r="D112" s="11">
        <v>222</v>
      </c>
      <c r="E112" s="143">
        <v>2229</v>
      </c>
      <c r="F112" s="18" t="s">
        <v>136</v>
      </c>
      <c r="G112" s="298"/>
      <c r="H112" s="299">
        <v>378</v>
      </c>
      <c r="I112" s="118">
        <v>378</v>
      </c>
      <c r="J112" s="34">
        <f t="shared" si="29"/>
        <v>0</v>
      </c>
      <c r="K112" s="35">
        <f t="shared" si="30"/>
        <v>100</v>
      </c>
    </row>
    <row r="113" spans="1:11" ht="13.5" thickBot="1" x14ac:dyDescent="0.25">
      <c r="A113" s="70"/>
      <c r="B113" s="71"/>
      <c r="C113" s="72"/>
      <c r="D113" s="73" t="s">
        <v>137</v>
      </c>
      <c r="E113" s="71"/>
      <c r="F113" s="74"/>
      <c r="G113" s="295">
        <f>SUBTOTAL(9,G102:G110)</f>
        <v>0</v>
      </c>
      <c r="H113" s="295">
        <f>SUBTOTAL(9,H102:H112)</f>
        <v>6078</v>
      </c>
      <c r="I113" s="75">
        <f>SUBTOTAL(9,I102:I112)</f>
        <v>11101</v>
      </c>
      <c r="J113" s="110">
        <f t="shared" ref="J113" si="34">IF(G113&lt;=0,0,$I113/G113*100)</f>
        <v>0</v>
      </c>
      <c r="K113" s="111">
        <f t="shared" ref="K113" si="35">IF(H113&lt;=0,0,$I113/H113*100)</f>
        <v>182.6423165514972</v>
      </c>
    </row>
    <row r="114" spans="1:11" x14ac:dyDescent="0.2">
      <c r="A114" s="16"/>
      <c r="B114" s="17"/>
      <c r="C114" s="63"/>
      <c r="D114" s="26"/>
      <c r="E114" s="17"/>
      <c r="F114" s="18"/>
      <c r="G114" s="297"/>
      <c r="H114" s="297"/>
      <c r="I114" s="90"/>
      <c r="J114" s="91">
        <f t="shared" si="29"/>
        <v>0</v>
      </c>
      <c r="K114" s="100">
        <f t="shared" si="30"/>
        <v>0</v>
      </c>
    </row>
    <row r="115" spans="1:11" x14ac:dyDescent="0.2">
      <c r="A115" s="85" t="s">
        <v>206</v>
      </c>
      <c r="B115" s="17"/>
      <c r="C115" s="63"/>
      <c r="D115" s="109"/>
      <c r="E115" s="17"/>
      <c r="F115" s="18"/>
      <c r="G115" s="297"/>
      <c r="H115" s="297"/>
      <c r="I115" s="90"/>
      <c r="J115" s="91">
        <f t="shared" si="29"/>
        <v>0</v>
      </c>
      <c r="K115" s="86">
        <f t="shared" si="30"/>
        <v>0</v>
      </c>
    </row>
    <row r="116" spans="1:11" x14ac:dyDescent="0.2">
      <c r="A116" s="28">
        <v>5400</v>
      </c>
      <c r="B116" s="29">
        <v>2219</v>
      </c>
      <c r="C116" s="67" t="s">
        <v>50</v>
      </c>
      <c r="D116" s="63" t="str">
        <f>(MID(E116,1,3))</f>
        <v>231</v>
      </c>
      <c r="E116" s="29">
        <v>2310</v>
      </c>
      <c r="F116" s="30" t="s">
        <v>138</v>
      </c>
      <c r="G116" s="294">
        <v>600</v>
      </c>
      <c r="H116" s="294">
        <v>600</v>
      </c>
      <c r="I116" s="31">
        <v>250</v>
      </c>
      <c r="J116" s="34">
        <f t="shared" si="29"/>
        <v>41.666666666666671</v>
      </c>
      <c r="K116" s="35">
        <f t="shared" si="30"/>
        <v>41.666666666666671</v>
      </c>
    </row>
    <row r="117" spans="1:11" x14ac:dyDescent="0.2">
      <c r="A117" s="28">
        <v>8200</v>
      </c>
      <c r="B117" s="29">
        <v>5311</v>
      </c>
      <c r="C117" s="67" t="s">
        <v>84</v>
      </c>
      <c r="D117" s="63" t="str">
        <f>(MID(E117,1,3))</f>
        <v>231</v>
      </c>
      <c r="E117" s="29">
        <v>2310</v>
      </c>
      <c r="F117" s="30" t="s">
        <v>138</v>
      </c>
      <c r="G117" s="294">
        <v>2</v>
      </c>
      <c r="H117" s="294">
        <v>2</v>
      </c>
      <c r="I117" s="31"/>
      <c r="J117" s="34">
        <f t="shared" si="29"/>
        <v>0</v>
      </c>
      <c r="K117" s="35">
        <f t="shared" si="30"/>
        <v>0</v>
      </c>
    </row>
    <row r="118" spans="1:11" ht="13.5" thickBot="1" x14ac:dyDescent="0.25">
      <c r="A118" s="70"/>
      <c r="B118" s="71"/>
      <c r="C118" s="72"/>
      <c r="D118" s="73" t="s">
        <v>210</v>
      </c>
      <c r="E118" s="71"/>
      <c r="F118" s="74"/>
      <c r="G118" s="295">
        <f>SUBTOTAL(9,G116:G117)</f>
        <v>602</v>
      </c>
      <c r="H118" s="295">
        <f>SUBTOTAL(9,H116:H117)</f>
        <v>602</v>
      </c>
      <c r="I118" s="75">
        <f>SUBTOTAL(9,I116:I117)</f>
        <v>250</v>
      </c>
      <c r="J118" s="110">
        <f t="shared" si="29"/>
        <v>41.528239202657808</v>
      </c>
      <c r="K118" s="111">
        <f t="shared" si="30"/>
        <v>41.528239202657808</v>
      </c>
    </row>
    <row r="119" spans="1:11" x14ac:dyDescent="0.2">
      <c r="A119" s="28"/>
      <c r="B119" s="29"/>
      <c r="C119" s="67"/>
      <c r="D119" s="26"/>
      <c r="E119" s="29"/>
      <c r="F119" s="30"/>
      <c r="G119" s="297"/>
      <c r="H119" s="297"/>
      <c r="I119" s="90"/>
      <c r="J119" s="112">
        <f t="shared" ref="J119:K137" si="36">IF(G119&lt;=0,0,$I119/G119*100)</f>
        <v>0</v>
      </c>
      <c r="K119" s="113">
        <f t="shared" si="36"/>
        <v>0</v>
      </c>
    </row>
    <row r="120" spans="1:11" x14ac:dyDescent="0.2">
      <c r="A120" s="101" t="s">
        <v>139</v>
      </c>
      <c r="B120" s="29"/>
      <c r="C120" s="67"/>
      <c r="D120" s="26"/>
      <c r="E120" s="29"/>
      <c r="F120" s="30"/>
      <c r="G120" s="297"/>
      <c r="H120" s="297"/>
      <c r="I120" s="90"/>
      <c r="J120" s="32">
        <f t="shared" si="36"/>
        <v>0</v>
      </c>
      <c r="K120" s="33">
        <f t="shared" si="36"/>
        <v>0</v>
      </c>
    </row>
    <row r="121" spans="1:11" x14ac:dyDescent="0.2">
      <c r="A121" s="28">
        <v>4200</v>
      </c>
      <c r="B121" s="29">
        <v>3725</v>
      </c>
      <c r="C121" s="63" t="s">
        <v>120</v>
      </c>
      <c r="D121" s="9" t="str">
        <f>(MID(E121,1,3))</f>
        <v>232</v>
      </c>
      <c r="E121" s="29">
        <v>2321</v>
      </c>
      <c r="F121" s="30" t="s">
        <v>140</v>
      </c>
      <c r="G121" s="292"/>
      <c r="H121" s="292"/>
      <c r="I121" s="38">
        <v>20</v>
      </c>
      <c r="J121" s="34">
        <f t="shared" si="36"/>
        <v>0</v>
      </c>
      <c r="K121" s="35">
        <f t="shared" si="36"/>
        <v>0</v>
      </c>
    </row>
    <row r="122" spans="1:11" x14ac:dyDescent="0.2">
      <c r="A122" s="28">
        <v>8200</v>
      </c>
      <c r="B122" s="29">
        <v>1014</v>
      </c>
      <c r="C122" s="69" t="s">
        <v>161</v>
      </c>
      <c r="D122" s="9" t="str">
        <f>(MID(E122,1,3))</f>
        <v>232</v>
      </c>
      <c r="E122" s="29">
        <v>2321</v>
      </c>
      <c r="F122" s="30" t="s">
        <v>140</v>
      </c>
      <c r="G122" s="292">
        <v>250</v>
      </c>
      <c r="H122" s="292">
        <v>250</v>
      </c>
      <c r="I122" s="38">
        <v>298</v>
      </c>
      <c r="J122" s="34">
        <f t="shared" ref="J122" si="37">IF(G122&lt;=0,0,$I122/G122*100)</f>
        <v>119.19999999999999</v>
      </c>
      <c r="K122" s="35">
        <f t="shared" ref="K122" si="38">IF(H122&lt;=0,0,$I122/H122*100)</f>
        <v>119.19999999999999</v>
      </c>
    </row>
    <row r="123" spans="1:11" x14ac:dyDescent="0.2">
      <c r="A123" s="28">
        <v>3200</v>
      </c>
      <c r="B123" s="29">
        <v>6171</v>
      </c>
      <c r="C123" s="63" t="s">
        <v>9</v>
      </c>
      <c r="D123" s="9" t="str">
        <f t="shared" ref="D123:D133" si="39">(MID(E123,1,3))</f>
        <v>232</v>
      </c>
      <c r="E123" s="29">
        <v>2322</v>
      </c>
      <c r="F123" s="30" t="s">
        <v>186</v>
      </c>
      <c r="G123" s="292">
        <v>100</v>
      </c>
      <c r="H123" s="292">
        <v>100</v>
      </c>
      <c r="I123" s="38">
        <v>96</v>
      </c>
      <c r="J123" s="34">
        <f t="shared" si="36"/>
        <v>96</v>
      </c>
      <c r="K123" s="35">
        <f t="shared" si="36"/>
        <v>96</v>
      </c>
    </row>
    <row r="124" spans="1:11" x14ac:dyDescent="0.2">
      <c r="A124" s="28">
        <v>5400</v>
      </c>
      <c r="B124" s="29">
        <v>2212</v>
      </c>
      <c r="C124" s="63" t="s">
        <v>18</v>
      </c>
      <c r="D124" s="9" t="str">
        <f>(MID(E124,1,3))</f>
        <v>232</v>
      </c>
      <c r="E124" s="29">
        <v>2322</v>
      </c>
      <c r="F124" s="30" t="s">
        <v>186</v>
      </c>
      <c r="G124" s="292">
        <v>1000</v>
      </c>
      <c r="H124" s="292">
        <v>1000</v>
      </c>
      <c r="I124" s="38"/>
      <c r="J124" s="34">
        <f t="shared" si="36"/>
        <v>0</v>
      </c>
      <c r="K124" s="35">
        <f t="shared" si="36"/>
        <v>0</v>
      </c>
    </row>
    <row r="125" spans="1:11" x14ac:dyDescent="0.2">
      <c r="A125" s="28">
        <v>8200</v>
      </c>
      <c r="B125" s="29">
        <v>5311</v>
      </c>
      <c r="C125" s="69" t="s">
        <v>84</v>
      </c>
      <c r="D125" s="9" t="str">
        <f t="shared" si="39"/>
        <v>232</v>
      </c>
      <c r="E125" s="29">
        <v>2322</v>
      </c>
      <c r="F125" s="30" t="s">
        <v>186</v>
      </c>
      <c r="G125" s="292">
        <v>200</v>
      </c>
      <c r="H125" s="292">
        <v>328</v>
      </c>
      <c r="I125" s="38">
        <v>839</v>
      </c>
      <c r="J125" s="34">
        <f t="shared" si="36"/>
        <v>419.5</v>
      </c>
      <c r="K125" s="35">
        <f t="shared" si="36"/>
        <v>255.79268292682929</v>
      </c>
    </row>
    <row r="126" spans="1:11" x14ac:dyDescent="0.2">
      <c r="A126" s="16">
        <v>1700</v>
      </c>
      <c r="B126" s="17">
        <v>6171</v>
      </c>
      <c r="C126" s="63" t="s">
        <v>9</v>
      </c>
      <c r="D126" s="9" t="str">
        <f t="shared" si="39"/>
        <v>232</v>
      </c>
      <c r="E126" s="17">
        <v>2324</v>
      </c>
      <c r="F126" s="37" t="s">
        <v>141</v>
      </c>
      <c r="G126" s="293">
        <v>800</v>
      </c>
      <c r="H126" s="293">
        <v>800</v>
      </c>
      <c r="I126" s="19">
        <v>799</v>
      </c>
      <c r="J126" s="34">
        <f t="shared" si="36"/>
        <v>99.875</v>
      </c>
      <c r="K126" s="35">
        <f t="shared" si="36"/>
        <v>99.875</v>
      </c>
    </row>
    <row r="127" spans="1:11" x14ac:dyDescent="0.2">
      <c r="A127" s="16">
        <v>3200</v>
      </c>
      <c r="B127" s="17">
        <v>6171</v>
      </c>
      <c r="C127" s="63" t="s">
        <v>9</v>
      </c>
      <c r="D127" s="9" t="str">
        <f t="shared" si="39"/>
        <v>232</v>
      </c>
      <c r="E127" s="17">
        <v>2324</v>
      </c>
      <c r="F127" s="37" t="s">
        <v>141</v>
      </c>
      <c r="G127" s="293">
        <v>300</v>
      </c>
      <c r="H127" s="293">
        <v>300</v>
      </c>
      <c r="I127" s="19">
        <v>384</v>
      </c>
      <c r="J127" s="34">
        <f t="shared" si="36"/>
        <v>128</v>
      </c>
      <c r="K127" s="35">
        <f t="shared" si="36"/>
        <v>128</v>
      </c>
    </row>
    <row r="128" spans="1:11" x14ac:dyDescent="0.2">
      <c r="A128" s="16">
        <v>3200</v>
      </c>
      <c r="B128" s="17">
        <v>6223</v>
      </c>
      <c r="C128" s="104" t="s">
        <v>220</v>
      </c>
      <c r="D128" s="9" t="str">
        <f>(MID(E128,1,3))</f>
        <v>232</v>
      </c>
      <c r="E128" s="17">
        <v>2324</v>
      </c>
      <c r="F128" s="37" t="s">
        <v>141</v>
      </c>
      <c r="G128" s="293"/>
      <c r="H128" s="293"/>
      <c r="I128" s="19">
        <v>6</v>
      </c>
      <c r="J128" s="34">
        <f t="shared" si="36"/>
        <v>0</v>
      </c>
      <c r="K128" s="35">
        <f t="shared" si="36"/>
        <v>0</v>
      </c>
    </row>
    <row r="129" spans="1:12" x14ac:dyDescent="0.2">
      <c r="A129" s="16">
        <v>3800</v>
      </c>
      <c r="B129" s="17">
        <v>6171</v>
      </c>
      <c r="C129" s="63" t="s">
        <v>9</v>
      </c>
      <c r="D129" s="9" t="str">
        <f t="shared" ref="D129" si="40">(MID(E129,1,3))</f>
        <v>232</v>
      </c>
      <c r="E129" s="17">
        <v>2324</v>
      </c>
      <c r="F129" s="37" t="s">
        <v>141</v>
      </c>
      <c r="G129" s="293"/>
      <c r="H129" s="293"/>
      <c r="I129" s="19">
        <v>3</v>
      </c>
      <c r="J129" s="34">
        <f t="shared" si="36"/>
        <v>0</v>
      </c>
      <c r="K129" s="35">
        <f t="shared" si="36"/>
        <v>0</v>
      </c>
    </row>
    <row r="130" spans="1:12" x14ac:dyDescent="0.2">
      <c r="A130" s="16">
        <v>4200</v>
      </c>
      <c r="B130" s="17">
        <v>3632</v>
      </c>
      <c r="C130" s="63" t="s">
        <v>1</v>
      </c>
      <c r="D130" s="9" t="str">
        <f>(MID(E130,1,3))</f>
        <v>232</v>
      </c>
      <c r="E130" s="17">
        <v>2324</v>
      </c>
      <c r="F130" s="37" t="s">
        <v>141</v>
      </c>
      <c r="G130" s="293"/>
      <c r="H130" s="293"/>
      <c r="I130" s="19">
        <v>6</v>
      </c>
      <c r="J130" s="34">
        <f t="shared" si="36"/>
        <v>0</v>
      </c>
      <c r="K130" s="35">
        <f t="shared" si="36"/>
        <v>0</v>
      </c>
    </row>
    <row r="131" spans="1:12" x14ac:dyDescent="0.2">
      <c r="A131" s="16">
        <v>4200</v>
      </c>
      <c r="B131" s="17">
        <v>3725</v>
      </c>
      <c r="C131" s="63" t="s">
        <v>120</v>
      </c>
      <c r="D131" s="9" t="str">
        <f t="shared" si="39"/>
        <v>232</v>
      </c>
      <c r="E131" s="17">
        <v>2324</v>
      </c>
      <c r="F131" s="37" t="s">
        <v>141</v>
      </c>
      <c r="G131" s="293">
        <v>19000</v>
      </c>
      <c r="H131" s="293">
        <v>19000</v>
      </c>
      <c r="I131" s="19">
        <v>26728</v>
      </c>
      <c r="J131" s="34">
        <f t="shared" si="36"/>
        <v>140.67368421052632</v>
      </c>
      <c r="K131" s="35">
        <f t="shared" si="36"/>
        <v>140.67368421052632</v>
      </c>
      <c r="L131" s="331"/>
    </row>
    <row r="132" spans="1:12" x14ac:dyDescent="0.2">
      <c r="A132" s="16">
        <v>4200</v>
      </c>
      <c r="B132" s="17">
        <v>3769</v>
      </c>
      <c r="C132" s="63" t="s">
        <v>256</v>
      </c>
      <c r="D132" s="9" t="str">
        <f t="shared" si="39"/>
        <v>232</v>
      </c>
      <c r="E132" s="17">
        <v>2324</v>
      </c>
      <c r="F132" s="37" t="s">
        <v>141</v>
      </c>
      <c r="G132" s="293">
        <v>5</v>
      </c>
      <c r="H132" s="293">
        <v>5</v>
      </c>
      <c r="I132" s="19">
        <v>28</v>
      </c>
      <c r="J132" s="34">
        <f t="shared" si="36"/>
        <v>560</v>
      </c>
      <c r="K132" s="35">
        <f t="shared" si="36"/>
        <v>560</v>
      </c>
    </row>
    <row r="133" spans="1:12" x14ac:dyDescent="0.2">
      <c r="A133" s="16">
        <v>4200</v>
      </c>
      <c r="B133" s="17">
        <v>6171</v>
      </c>
      <c r="C133" s="63" t="s">
        <v>9</v>
      </c>
      <c r="D133" s="9" t="str">
        <f t="shared" si="39"/>
        <v>232</v>
      </c>
      <c r="E133" s="17">
        <v>2324</v>
      </c>
      <c r="F133" s="37" t="s">
        <v>141</v>
      </c>
      <c r="G133" s="293">
        <v>1</v>
      </c>
      <c r="H133" s="293">
        <v>1</v>
      </c>
      <c r="I133" s="19"/>
      <c r="J133" s="34">
        <f t="shared" si="36"/>
        <v>0</v>
      </c>
      <c r="K133" s="35">
        <f t="shared" si="36"/>
        <v>0</v>
      </c>
    </row>
    <row r="134" spans="1:12" x14ac:dyDescent="0.2">
      <c r="A134" s="16">
        <v>4300</v>
      </c>
      <c r="B134" s="17">
        <v>2399</v>
      </c>
      <c r="C134" s="63" t="s">
        <v>133</v>
      </c>
      <c r="D134" s="9" t="str">
        <f t="shared" ref="D134" si="41">(MID(E134,1,3))</f>
        <v>232</v>
      </c>
      <c r="E134" s="17">
        <v>2324</v>
      </c>
      <c r="F134" s="37" t="s">
        <v>141</v>
      </c>
      <c r="G134" s="293"/>
      <c r="H134" s="293"/>
      <c r="I134" s="19">
        <v>3</v>
      </c>
      <c r="J134" s="34"/>
      <c r="K134" s="35"/>
    </row>
    <row r="135" spans="1:12" x14ac:dyDescent="0.2">
      <c r="A135" s="16">
        <v>5300</v>
      </c>
      <c r="B135" s="17">
        <v>6171</v>
      </c>
      <c r="C135" s="63" t="s">
        <v>9</v>
      </c>
      <c r="D135" s="11">
        <v>232</v>
      </c>
      <c r="E135" s="17">
        <v>2324</v>
      </c>
      <c r="F135" s="37" t="s">
        <v>141</v>
      </c>
      <c r="G135" s="293">
        <v>4</v>
      </c>
      <c r="H135" s="293">
        <v>4</v>
      </c>
      <c r="I135" s="19"/>
      <c r="J135" s="34">
        <f t="shared" si="36"/>
        <v>0</v>
      </c>
      <c r="K135" s="35">
        <f t="shared" si="36"/>
        <v>0</v>
      </c>
    </row>
    <row r="136" spans="1:12" x14ac:dyDescent="0.2">
      <c r="A136" s="16">
        <v>5400</v>
      </c>
      <c r="B136" s="17">
        <v>2219</v>
      </c>
      <c r="C136" s="67" t="s">
        <v>50</v>
      </c>
      <c r="D136" s="11">
        <v>232</v>
      </c>
      <c r="E136" s="17">
        <v>2324</v>
      </c>
      <c r="F136" s="37" t="s">
        <v>141</v>
      </c>
      <c r="G136" s="293">
        <v>40</v>
      </c>
      <c r="H136" s="293">
        <v>40</v>
      </c>
      <c r="I136" s="19">
        <v>39</v>
      </c>
      <c r="J136" s="34">
        <f t="shared" si="36"/>
        <v>97.5</v>
      </c>
      <c r="K136" s="35">
        <f t="shared" si="36"/>
        <v>97.5</v>
      </c>
    </row>
    <row r="137" spans="1:12" x14ac:dyDescent="0.2">
      <c r="A137" s="16">
        <v>5400</v>
      </c>
      <c r="B137" s="17">
        <v>2271</v>
      </c>
      <c r="C137" s="67" t="s">
        <v>19</v>
      </c>
      <c r="D137" s="11">
        <v>232</v>
      </c>
      <c r="E137" s="17">
        <v>2324</v>
      </c>
      <c r="F137" s="37" t="s">
        <v>141</v>
      </c>
      <c r="G137" s="293"/>
      <c r="H137" s="293"/>
      <c r="I137" s="19">
        <v>201</v>
      </c>
      <c r="J137" s="34">
        <f t="shared" si="36"/>
        <v>0</v>
      </c>
      <c r="K137" s="35">
        <f t="shared" si="36"/>
        <v>0</v>
      </c>
    </row>
    <row r="138" spans="1:12" x14ac:dyDescent="0.2">
      <c r="A138" s="16">
        <v>5600</v>
      </c>
      <c r="B138" s="17">
        <v>2212</v>
      </c>
      <c r="C138" s="67" t="s">
        <v>18</v>
      </c>
      <c r="D138" s="11">
        <v>232</v>
      </c>
      <c r="E138" s="17">
        <v>2324</v>
      </c>
      <c r="F138" s="37" t="s">
        <v>141</v>
      </c>
      <c r="G138" s="293"/>
      <c r="H138" s="293"/>
      <c r="I138" s="19">
        <v>1960</v>
      </c>
      <c r="J138" s="34">
        <f t="shared" ref="J138:J178" si="42">IF(G138&lt;=0,0,$I138/G138*100)</f>
        <v>0</v>
      </c>
      <c r="K138" s="35">
        <f t="shared" ref="K138:K178" si="43">IF(H138&lt;=0,0,$I138/H138*100)</f>
        <v>0</v>
      </c>
      <c r="L138" s="331"/>
    </row>
    <row r="139" spans="1:12" x14ac:dyDescent="0.2">
      <c r="A139" s="16">
        <v>5600</v>
      </c>
      <c r="B139" s="17">
        <v>2219</v>
      </c>
      <c r="C139" s="69" t="s">
        <v>50</v>
      </c>
      <c r="D139" s="11">
        <v>232</v>
      </c>
      <c r="E139" s="17">
        <v>2324</v>
      </c>
      <c r="F139" s="37" t="s">
        <v>141</v>
      </c>
      <c r="G139" s="293"/>
      <c r="H139" s="293">
        <v>297</v>
      </c>
      <c r="I139" s="19">
        <v>245</v>
      </c>
      <c r="J139" s="34">
        <f t="shared" si="42"/>
        <v>0</v>
      </c>
      <c r="K139" s="35">
        <f t="shared" si="43"/>
        <v>82.491582491582491</v>
      </c>
    </row>
    <row r="140" spans="1:12" x14ac:dyDescent="0.2">
      <c r="A140" s="16">
        <v>5600</v>
      </c>
      <c r="B140" s="17">
        <v>2321</v>
      </c>
      <c r="C140" s="63" t="s">
        <v>49</v>
      </c>
      <c r="D140" s="11">
        <v>232</v>
      </c>
      <c r="E140" s="17">
        <v>2324</v>
      </c>
      <c r="F140" s="37" t="s">
        <v>141</v>
      </c>
      <c r="G140" s="293"/>
      <c r="H140" s="293"/>
      <c r="I140" s="19">
        <v>35</v>
      </c>
      <c r="J140" s="34">
        <f t="shared" si="42"/>
        <v>0</v>
      </c>
      <c r="K140" s="35"/>
    </row>
    <row r="141" spans="1:12" x14ac:dyDescent="0.2">
      <c r="A141" s="16">
        <v>5600</v>
      </c>
      <c r="B141" s="17">
        <v>3311</v>
      </c>
      <c r="C141" s="68" t="s">
        <v>23</v>
      </c>
      <c r="D141" s="11">
        <v>232</v>
      </c>
      <c r="E141" s="17">
        <v>2324</v>
      </c>
      <c r="F141" s="37" t="s">
        <v>141</v>
      </c>
      <c r="G141" s="293"/>
      <c r="H141" s="293"/>
      <c r="I141" s="19">
        <v>290</v>
      </c>
      <c r="J141" s="34">
        <f t="shared" si="42"/>
        <v>0</v>
      </c>
      <c r="K141" s="35"/>
    </row>
    <row r="142" spans="1:12" x14ac:dyDescent="0.2">
      <c r="A142" s="16">
        <v>5600</v>
      </c>
      <c r="B142" s="17">
        <v>3421</v>
      </c>
      <c r="C142" s="69" t="s">
        <v>90</v>
      </c>
      <c r="D142" s="11">
        <v>232</v>
      </c>
      <c r="E142" s="17">
        <v>2324</v>
      </c>
      <c r="F142" s="37" t="s">
        <v>141</v>
      </c>
      <c r="G142" s="293"/>
      <c r="H142" s="293"/>
      <c r="I142" s="19">
        <v>5</v>
      </c>
      <c r="J142" s="34">
        <f t="shared" si="42"/>
        <v>0</v>
      </c>
      <c r="K142" s="35"/>
    </row>
    <row r="143" spans="1:12" x14ac:dyDescent="0.2">
      <c r="A143" s="16">
        <v>5600</v>
      </c>
      <c r="B143" s="17">
        <v>3631</v>
      </c>
      <c r="C143" s="87" t="s">
        <v>10</v>
      </c>
      <c r="D143" s="11">
        <v>232</v>
      </c>
      <c r="E143" s="17">
        <v>2324</v>
      </c>
      <c r="F143" s="37" t="s">
        <v>141</v>
      </c>
      <c r="G143" s="293"/>
      <c r="H143" s="293"/>
      <c r="I143" s="19">
        <v>680</v>
      </c>
      <c r="J143" s="34">
        <f t="shared" si="42"/>
        <v>0</v>
      </c>
      <c r="K143" s="35">
        <f t="shared" si="43"/>
        <v>0</v>
      </c>
      <c r="L143" s="331"/>
    </row>
    <row r="144" spans="1:12" x14ac:dyDescent="0.2">
      <c r="A144" s="16">
        <v>5600</v>
      </c>
      <c r="B144" s="17">
        <v>3639</v>
      </c>
      <c r="C144" s="87" t="s">
        <v>119</v>
      </c>
      <c r="D144" s="11">
        <v>232</v>
      </c>
      <c r="E144" s="17">
        <v>2324</v>
      </c>
      <c r="F144" s="37" t="s">
        <v>141</v>
      </c>
      <c r="G144" s="293"/>
      <c r="H144" s="293"/>
      <c r="I144" s="19">
        <v>1</v>
      </c>
      <c r="J144" s="34">
        <f t="shared" si="42"/>
        <v>0</v>
      </c>
      <c r="K144" s="35">
        <f t="shared" si="43"/>
        <v>0</v>
      </c>
    </row>
    <row r="145" spans="1:12" x14ac:dyDescent="0.2">
      <c r="A145" s="16">
        <v>5600</v>
      </c>
      <c r="B145" s="17">
        <v>4357</v>
      </c>
      <c r="C145" s="105" t="s">
        <v>230</v>
      </c>
      <c r="D145" s="11">
        <v>232</v>
      </c>
      <c r="E145" s="17">
        <v>2324</v>
      </c>
      <c r="F145" s="37" t="s">
        <v>141</v>
      </c>
      <c r="G145" s="293"/>
      <c r="H145" s="293"/>
      <c r="I145" s="19">
        <v>2</v>
      </c>
      <c r="J145" s="34">
        <f t="shared" si="42"/>
        <v>0</v>
      </c>
      <c r="K145" s="35">
        <f t="shared" si="43"/>
        <v>0</v>
      </c>
    </row>
    <row r="146" spans="1:12" x14ac:dyDescent="0.2">
      <c r="A146" s="16">
        <v>5800</v>
      </c>
      <c r="B146" s="17">
        <v>2219</v>
      </c>
      <c r="C146" s="67" t="s">
        <v>50</v>
      </c>
      <c r="D146" s="9" t="str">
        <f t="shared" ref="D146:D150" si="44">(MID(E146,1,3))</f>
        <v>232</v>
      </c>
      <c r="E146" s="29">
        <v>2324</v>
      </c>
      <c r="F146" s="37" t="s">
        <v>141</v>
      </c>
      <c r="G146" s="293">
        <v>1000</v>
      </c>
      <c r="H146" s="293">
        <v>1000</v>
      </c>
      <c r="I146" s="19">
        <v>1841</v>
      </c>
      <c r="J146" s="34">
        <f t="shared" si="42"/>
        <v>184.1</v>
      </c>
      <c r="K146" s="35">
        <f t="shared" si="43"/>
        <v>184.1</v>
      </c>
    </row>
    <row r="147" spans="1:12" x14ac:dyDescent="0.2">
      <c r="A147" s="16">
        <v>5900</v>
      </c>
      <c r="B147" s="17">
        <v>3299</v>
      </c>
      <c r="C147" s="67" t="s">
        <v>280</v>
      </c>
      <c r="D147" s="63" t="str">
        <f t="shared" si="44"/>
        <v>232</v>
      </c>
      <c r="E147" s="29">
        <v>2324</v>
      </c>
      <c r="F147" s="37" t="s">
        <v>141</v>
      </c>
      <c r="G147" s="293"/>
      <c r="H147" s="293">
        <v>464</v>
      </c>
      <c r="I147" s="19">
        <v>464</v>
      </c>
      <c r="J147" s="34">
        <f t="shared" si="42"/>
        <v>0</v>
      </c>
      <c r="K147" s="35">
        <f t="shared" si="43"/>
        <v>100</v>
      </c>
    </row>
    <row r="148" spans="1:12" x14ac:dyDescent="0.2">
      <c r="A148" s="16">
        <v>5900</v>
      </c>
      <c r="B148" s="17">
        <v>3315</v>
      </c>
      <c r="C148" s="67" t="s">
        <v>87</v>
      </c>
      <c r="D148" s="63" t="str">
        <f t="shared" si="44"/>
        <v>232</v>
      </c>
      <c r="E148" s="29">
        <v>2324</v>
      </c>
      <c r="F148" s="37" t="s">
        <v>141</v>
      </c>
      <c r="G148" s="293"/>
      <c r="H148" s="293"/>
      <c r="I148" s="19">
        <v>3</v>
      </c>
      <c r="J148" s="34">
        <f t="shared" si="42"/>
        <v>0</v>
      </c>
      <c r="K148" s="35">
        <f t="shared" si="43"/>
        <v>0</v>
      </c>
    </row>
    <row r="149" spans="1:12" x14ac:dyDescent="0.2">
      <c r="A149" s="16">
        <v>5900</v>
      </c>
      <c r="B149" s="17">
        <v>3745</v>
      </c>
      <c r="C149" s="67" t="s">
        <v>2</v>
      </c>
      <c r="D149" s="9" t="str">
        <f t="shared" si="44"/>
        <v>232</v>
      </c>
      <c r="E149" s="29">
        <v>2324</v>
      </c>
      <c r="F149" s="37" t="s">
        <v>141</v>
      </c>
      <c r="G149" s="293"/>
      <c r="H149" s="293">
        <v>5</v>
      </c>
      <c r="I149" s="19">
        <v>5</v>
      </c>
      <c r="J149" s="34">
        <f t="shared" si="42"/>
        <v>0</v>
      </c>
      <c r="K149" s="35">
        <f t="shared" si="43"/>
        <v>100</v>
      </c>
    </row>
    <row r="150" spans="1:12" x14ac:dyDescent="0.2">
      <c r="A150" s="16">
        <v>6200</v>
      </c>
      <c r="B150" s="17">
        <v>3612</v>
      </c>
      <c r="C150" s="67" t="s">
        <v>11</v>
      </c>
      <c r="D150" s="9" t="str">
        <f t="shared" si="44"/>
        <v>232</v>
      </c>
      <c r="E150" s="29">
        <v>2324</v>
      </c>
      <c r="F150" s="37" t="s">
        <v>141</v>
      </c>
      <c r="G150" s="293"/>
      <c r="H150" s="293"/>
      <c r="I150" s="19">
        <v>77</v>
      </c>
      <c r="J150" s="34">
        <f t="shared" si="42"/>
        <v>0</v>
      </c>
      <c r="K150" s="35">
        <f t="shared" si="43"/>
        <v>0</v>
      </c>
    </row>
    <row r="151" spans="1:12" x14ac:dyDescent="0.2">
      <c r="A151" s="28">
        <v>6300</v>
      </c>
      <c r="B151" s="29">
        <v>3639</v>
      </c>
      <c r="C151" s="67" t="s">
        <v>119</v>
      </c>
      <c r="D151" s="9" t="str">
        <f t="shared" ref="D151:D168" si="45">(MID(E151,1,3))</f>
        <v>232</v>
      </c>
      <c r="E151" s="29">
        <v>2324</v>
      </c>
      <c r="F151" s="37" t="s">
        <v>141</v>
      </c>
      <c r="G151" s="292">
        <v>2000</v>
      </c>
      <c r="H151" s="292">
        <v>2000</v>
      </c>
      <c r="I151" s="38">
        <v>10108</v>
      </c>
      <c r="J151" s="34">
        <f t="shared" si="42"/>
        <v>505.40000000000003</v>
      </c>
      <c r="K151" s="35">
        <f t="shared" si="43"/>
        <v>505.40000000000003</v>
      </c>
    </row>
    <row r="152" spans="1:12" x14ac:dyDescent="0.2">
      <c r="A152" s="28">
        <v>6500</v>
      </c>
      <c r="B152" s="29">
        <v>6171</v>
      </c>
      <c r="C152" s="67" t="s">
        <v>9</v>
      </c>
      <c r="D152" s="9" t="str">
        <f t="shared" si="45"/>
        <v>232</v>
      </c>
      <c r="E152" s="29">
        <v>2324</v>
      </c>
      <c r="F152" s="37" t="s">
        <v>141</v>
      </c>
      <c r="G152" s="292">
        <v>150</v>
      </c>
      <c r="H152" s="292">
        <v>150</v>
      </c>
      <c r="I152" s="38">
        <v>295</v>
      </c>
      <c r="J152" s="34">
        <f t="shared" si="42"/>
        <v>196.66666666666666</v>
      </c>
      <c r="K152" s="35">
        <f t="shared" si="43"/>
        <v>196.66666666666666</v>
      </c>
    </row>
    <row r="153" spans="1:12" x14ac:dyDescent="0.2">
      <c r="A153" s="28">
        <v>6600</v>
      </c>
      <c r="B153" s="29">
        <v>3612</v>
      </c>
      <c r="C153" s="67" t="s">
        <v>11</v>
      </c>
      <c r="D153" s="9" t="str">
        <f>(MID(E153,1,3))</f>
        <v>232</v>
      </c>
      <c r="E153" s="29">
        <v>2324</v>
      </c>
      <c r="F153" s="37" t="s">
        <v>141</v>
      </c>
      <c r="G153" s="292">
        <v>11500</v>
      </c>
      <c r="H153" s="292">
        <v>11500</v>
      </c>
      <c r="I153" s="38">
        <v>14138</v>
      </c>
      <c r="J153" s="34">
        <f t="shared" si="42"/>
        <v>122.93913043478261</v>
      </c>
      <c r="K153" s="35">
        <f t="shared" si="43"/>
        <v>122.93913043478261</v>
      </c>
      <c r="L153" s="331"/>
    </row>
    <row r="154" spans="1:12" x14ac:dyDescent="0.2">
      <c r="A154" s="28">
        <v>6600</v>
      </c>
      <c r="B154" s="29">
        <v>3639</v>
      </c>
      <c r="C154" s="67" t="s">
        <v>119</v>
      </c>
      <c r="D154" s="9" t="str">
        <f t="shared" si="45"/>
        <v>232</v>
      </c>
      <c r="E154" s="29">
        <v>2324</v>
      </c>
      <c r="F154" s="37" t="s">
        <v>141</v>
      </c>
      <c r="G154" s="294">
        <v>6700</v>
      </c>
      <c r="H154" s="294">
        <v>6700</v>
      </c>
      <c r="I154" s="31">
        <v>8867</v>
      </c>
      <c r="J154" s="34">
        <f t="shared" si="42"/>
        <v>132.34328358208955</v>
      </c>
      <c r="K154" s="35">
        <f t="shared" si="43"/>
        <v>132.34328358208955</v>
      </c>
      <c r="L154" s="331"/>
    </row>
    <row r="155" spans="1:12" x14ac:dyDescent="0.2">
      <c r="A155" s="28">
        <v>6600</v>
      </c>
      <c r="B155" s="29">
        <v>4341</v>
      </c>
      <c r="C155" s="30" t="s">
        <v>203</v>
      </c>
      <c r="D155" s="9" t="str">
        <f t="shared" ref="D155:D160" si="46">(MID(E155,1,3))</f>
        <v>232</v>
      </c>
      <c r="E155" s="29">
        <v>2324</v>
      </c>
      <c r="F155" s="37" t="s">
        <v>141</v>
      </c>
      <c r="G155" s="294"/>
      <c r="H155" s="294"/>
      <c r="I155" s="31">
        <v>143</v>
      </c>
      <c r="J155" s="34">
        <f t="shared" si="42"/>
        <v>0</v>
      </c>
      <c r="K155" s="35">
        <f t="shared" si="43"/>
        <v>0</v>
      </c>
    </row>
    <row r="156" spans="1:12" x14ac:dyDescent="0.2">
      <c r="A156" s="28">
        <v>6600</v>
      </c>
      <c r="B156" s="29">
        <v>6171</v>
      </c>
      <c r="C156" s="30" t="s">
        <v>9</v>
      </c>
      <c r="D156" s="9" t="str">
        <f t="shared" si="46"/>
        <v>232</v>
      </c>
      <c r="E156" s="29">
        <v>2324</v>
      </c>
      <c r="F156" s="37" t="s">
        <v>141</v>
      </c>
      <c r="G156" s="294">
        <v>5500</v>
      </c>
      <c r="H156" s="294">
        <v>5500</v>
      </c>
      <c r="I156" s="31">
        <v>6135</v>
      </c>
      <c r="J156" s="34">
        <f t="shared" si="42"/>
        <v>111.54545454545455</v>
      </c>
      <c r="K156" s="35">
        <f t="shared" si="43"/>
        <v>111.54545454545455</v>
      </c>
    </row>
    <row r="157" spans="1:12" x14ac:dyDescent="0.2">
      <c r="A157" s="28">
        <v>7200</v>
      </c>
      <c r="B157" s="29">
        <v>4341</v>
      </c>
      <c r="C157" s="30" t="s">
        <v>203</v>
      </c>
      <c r="D157" s="9" t="str">
        <f t="shared" si="46"/>
        <v>232</v>
      </c>
      <c r="E157" s="29">
        <v>2324</v>
      </c>
      <c r="F157" s="37" t="s">
        <v>141</v>
      </c>
      <c r="G157" s="294"/>
      <c r="H157" s="294"/>
      <c r="I157" s="31">
        <v>20</v>
      </c>
      <c r="J157" s="34">
        <f t="shared" si="42"/>
        <v>0</v>
      </c>
      <c r="K157" s="35">
        <f t="shared" si="43"/>
        <v>0</v>
      </c>
    </row>
    <row r="158" spans="1:12" x14ac:dyDescent="0.2">
      <c r="A158" s="28">
        <v>7300</v>
      </c>
      <c r="B158" s="29">
        <v>3326</v>
      </c>
      <c r="C158" s="115" t="s">
        <v>160</v>
      </c>
      <c r="D158" s="9" t="str">
        <f t="shared" si="46"/>
        <v>232</v>
      </c>
      <c r="E158" s="29">
        <v>2324</v>
      </c>
      <c r="F158" s="37" t="s">
        <v>141</v>
      </c>
      <c r="G158" s="294"/>
      <c r="H158" s="294"/>
      <c r="I158" s="31">
        <v>11</v>
      </c>
      <c r="J158" s="34">
        <f t="shared" si="42"/>
        <v>0</v>
      </c>
      <c r="K158" s="35">
        <f t="shared" si="43"/>
        <v>0</v>
      </c>
    </row>
    <row r="159" spans="1:12" x14ac:dyDescent="0.2">
      <c r="A159" s="28">
        <v>7500</v>
      </c>
      <c r="B159" s="29">
        <v>3322</v>
      </c>
      <c r="C159" s="67" t="s">
        <v>26</v>
      </c>
      <c r="D159" s="9" t="str">
        <f t="shared" si="46"/>
        <v>232</v>
      </c>
      <c r="E159" s="29">
        <v>2324</v>
      </c>
      <c r="F159" s="37" t="s">
        <v>141</v>
      </c>
      <c r="G159" s="294">
        <v>5</v>
      </c>
      <c r="H159" s="294">
        <v>5</v>
      </c>
      <c r="I159" s="31">
        <v>1</v>
      </c>
      <c r="J159" s="34">
        <f t="shared" si="42"/>
        <v>20</v>
      </c>
      <c r="K159" s="35">
        <f t="shared" si="43"/>
        <v>20</v>
      </c>
    </row>
    <row r="160" spans="1:12" x14ac:dyDescent="0.2">
      <c r="A160" s="28">
        <v>8200</v>
      </c>
      <c r="B160" s="29">
        <v>1014</v>
      </c>
      <c r="C160" s="69" t="s">
        <v>161</v>
      </c>
      <c r="D160" s="9" t="str">
        <f t="shared" si="46"/>
        <v>232</v>
      </c>
      <c r="E160" s="29">
        <v>2324</v>
      </c>
      <c r="F160" s="37" t="s">
        <v>141</v>
      </c>
      <c r="G160" s="294"/>
      <c r="H160" s="294"/>
      <c r="I160" s="31">
        <v>39</v>
      </c>
      <c r="J160" s="34">
        <f t="shared" si="42"/>
        <v>0</v>
      </c>
      <c r="K160" s="35">
        <f t="shared" si="43"/>
        <v>0</v>
      </c>
    </row>
    <row r="161" spans="1:12" x14ac:dyDescent="0.2">
      <c r="A161" s="28">
        <v>8200</v>
      </c>
      <c r="B161" s="29">
        <v>5311</v>
      </c>
      <c r="C161" s="67" t="s">
        <v>84</v>
      </c>
      <c r="D161" s="9" t="str">
        <f t="shared" si="45"/>
        <v>232</v>
      </c>
      <c r="E161" s="29">
        <v>2324</v>
      </c>
      <c r="F161" s="37" t="s">
        <v>141</v>
      </c>
      <c r="G161" s="294">
        <v>100</v>
      </c>
      <c r="H161" s="294">
        <v>446</v>
      </c>
      <c r="I161" s="31">
        <v>535</v>
      </c>
      <c r="J161" s="34">
        <f t="shared" si="42"/>
        <v>535</v>
      </c>
      <c r="K161" s="35">
        <f t="shared" si="43"/>
        <v>119.95515695067265</v>
      </c>
    </row>
    <row r="162" spans="1:12" x14ac:dyDescent="0.2">
      <c r="A162" s="28">
        <v>1700</v>
      </c>
      <c r="B162" s="92">
        <v>6399</v>
      </c>
      <c r="C162" s="67" t="s">
        <v>77</v>
      </c>
      <c r="D162" s="9" t="str">
        <f>(MID(E162,1,3))</f>
        <v>232</v>
      </c>
      <c r="E162" s="92">
        <v>2328</v>
      </c>
      <c r="F162" s="18" t="s">
        <v>142</v>
      </c>
      <c r="G162" s="294"/>
      <c r="H162" s="294"/>
      <c r="I162" s="31">
        <v>43</v>
      </c>
      <c r="J162" s="34">
        <f t="shared" si="42"/>
        <v>0</v>
      </c>
      <c r="K162" s="35">
        <f t="shared" si="43"/>
        <v>0</v>
      </c>
    </row>
    <row r="163" spans="1:12" x14ac:dyDescent="0.2">
      <c r="A163" s="28">
        <v>6600</v>
      </c>
      <c r="B163" s="29">
        <v>3639</v>
      </c>
      <c r="C163" s="63" t="s">
        <v>119</v>
      </c>
      <c r="D163" s="9" t="str">
        <f t="shared" si="45"/>
        <v>232</v>
      </c>
      <c r="E163" s="92">
        <v>2328</v>
      </c>
      <c r="F163" s="18" t="s">
        <v>142</v>
      </c>
      <c r="G163" s="294"/>
      <c r="H163" s="294"/>
      <c r="I163" s="31">
        <v>12</v>
      </c>
      <c r="J163" s="34">
        <f t="shared" si="42"/>
        <v>0</v>
      </c>
      <c r="K163" s="35">
        <f t="shared" si="43"/>
        <v>0</v>
      </c>
    </row>
    <row r="164" spans="1:12" x14ac:dyDescent="0.2">
      <c r="A164" s="16">
        <v>6600</v>
      </c>
      <c r="B164" s="92">
        <v>6399</v>
      </c>
      <c r="C164" s="67" t="s">
        <v>77</v>
      </c>
      <c r="D164" s="9" t="str">
        <f t="shared" si="45"/>
        <v>232</v>
      </c>
      <c r="E164" s="92">
        <v>2328</v>
      </c>
      <c r="F164" s="18" t="s">
        <v>142</v>
      </c>
      <c r="G164" s="292"/>
      <c r="H164" s="292"/>
      <c r="I164" s="38">
        <v>19</v>
      </c>
      <c r="J164" s="34">
        <f t="shared" si="42"/>
        <v>0</v>
      </c>
      <c r="K164" s="35">
        <f t="shared" si="43"/>
        <v>0</v>
      </c>
    </row>
    <row r="165" spans="1:12" x14ac:dyDescent="0.2">
      <c r="A165" s="16">
        <v>1700</v>
      </c>
      <c r="B165" s="92">
        <v>2329</v>
      </c>
      <c r="C165" s="67" t="s">
        <v>191</v>
      </c>
      <c r="D165" s="9" t="str">
        <f t="shared" si="45"/>
        <v>232</v>
      </c>
      <c r="E165" s="92">
        <v>2329</v>
      </c>
      <c r="F165" s="37" t="s">
        <v>144</v>
      </c>
      <c r="G165" s="292"/>
      <c r="H165" s="292"/>
      <c r="I165" s="38">
        <v>2498</v>
      </c>
      <c r="J165" s="34">
        <f t="shared" si="42"/>
        <v>0</v>
      </c>
      <c r="K165" s="35">
        <f t="shared" si="43"/>
        <v>0</v>
      </c>
      <c r="L165" s="331"/>
    </row>
    <row r="166" spans="1:12" x14ac:dyDescent="0.2">
      <c r="A166" s="16">
        <v>1700</v>
      </c>
      <c r="B166" s="17">
        <v>6171</v>
      </c>
      <c r="C166" s="63" t="s">
        <v>9</v>
      </c>
      <c r="D166" s="9" t="str">
        <f t="shared" si="45"/>
        <v>232</v>
      </c>
      <c r="E166" s="17">
        <v>2329</v>
      </c>
      <c r="F166" s="37" t="s">
        <v>144</v>
      </c>
      <c r="G166" s="293">
        <v>140</v>
      </c>
      <c r="H166" s="293">
        <v>140</v>
      </c>
      <c r="I166" s="19">
        <v>65</v>
      </c>
      <c r="J166" s="34">
        <f t="shared" si="42"/>
        <v>46.428571428571431</v>
      </c>
      <c r="K166" s="35">
        <f t="shared" si="43"/>
        <v>46.428571428571431</v>
      </c>
    </row>
    <row r="167" spans="1:12" x14ac:dyDescent="0.2">
      <c r="A167" s="93">
        <v>3200</v>
      </c>
      <c r="B167" s="92">
        <v>6171</v>
      </c>
      <c r="C167" s="67" t="s">
        <v>9</v>
      </c>
      <c r="D167" s="9" t="str">
        <f>(MID(E167,1,3))</f>
        <v>232</v>
      </c>
      <c r="E167" s="17">
        <v>2329</v>
      </c>
      <c r="F167" s="37" t="s">
        <v>144</v>
      </c>
      <c r="G167" s="292">
        <v>2</v>
      </c>
      <c r="H167" s="292">
        <v>2</v>
      </c>
      <c r="I167" s="38">
        <v>1</v>
      </c>
      <c r="J167" s="34">
        <f t="shared" si="42"/>
        <v>50</v>
      </c>
      <c r="K167" s="35">
        <f t="shared" si="43"/>
        <v>50</v>
      </c>
    </row>
    <row r="168" spans="1:12" x14ac:dyDescent="0.2">
      <c r="A168" s="16">
        <v>4200</v>
      </c>
      <c r="B168" s="17">
        <v>6171</v>
      </c>
      <c r="C168" s="63" t="s">
        <v>9</v>
      </c>
      <c r="D168" s="9" t="str">
        <f t="shared" si="45"/>
        <v>232</v>
      </c>
      <c r="E168" s="17">
        <v>2329</v>
      </c>
      <c r="F168" s="37" t="s">
        <v>144</v>
      </c>
      <c r="G168" s="293">
        <v>1</v>
      </c>
      <c r="H168" s="293">
        <v>1</v>
      </c>
      <c r="I168" s="19">
        <v>9</v>
      </c>
      <c r="J168" s="34">
        <f t="shared" si="42"/>
        <v>900</v>
      </c>
      <c r="K168" s="35">
        <f t="shared" si="43"/>
        <v>900</v>
      </c>
    </row>
    <row r="169" spans="1:12" x14ac:dyDescent="0.2">
      <c r="A169" s="93">
        <v>4300</v>
      </c>
      <c r="B169" s="92">
        <v>1032</v>
      </c>
      <c r="C169" s="67" t="s">
        <v>143</v>
      </c>
      <c r="D169" s="9" t="str">
        <f t="shared" ref="D169:D183" si="47">(MID(E169,1,3))</f>
        <v>232</v>
      </c>
      <c r="E169" s="17">
        <v>2329</v>
      </c>
      <c r="F169" s="37" t="s">
        <v>144</v>
      </c>
      <c r="G169" s="292">
        <v>215</v>
      </c>
      <c r="H169" s="292">
        <v>215</v>
      </c>
      <c r="I169" s="38">
        <v>132</v>
      </c>
      <c r="J169" s="34">
        <f t="shared" si="42"/>
        <v>61.395348837209305</v>
      </c>
      <c r="K169" s="35">
        <f t="shared" si="43"/>
        <v>61.395348837209305</v>
      </c>
    </row>
    <row r="170" spans="1:12" x14ac:dyDescent="0.2">
      <c r="A170" s="93">
        <v>5400</v>
      </c>
      <c r="B170" s="92">
        <v>2219</v>
      </c>
      <c r="C170" s="67" t="s">
        <v>50</v>
      </c>
      <c r="D170" s="9" t="str">
        <f t="shared" ref="D170" si="48">(MID(E170,1,3))</f>
        <v>232</v>
      </c>
      <c r="E170" s="17">
        <v>2329</v>
      </c>
      <c r="F170" s="37" t="s">
        <v>144</v>
      </c>
      <c r="G170" s="292"/>
      <c r="H170" s="292"/>
      <c r="I170" s="38">
        <v>575</v>
      </c>
      <c r="J170" s="34"/>
      <c r="K170" s="35"/>
      <c r="L170" s="331"/>
    </row>
    <row r="171" spans="1:12" x14ac:dyDescent="0.2">
      <c r="A171" s="93">
        <v>5600</v>
      </c>
      <c r="B171" s="92">
        <v>2321</v>
      </c>
      <c r="C171" s="63" t="s">
        <v>49</v>
      </c>
      <c r="D171" s="9" t="str">
        <f t="shared" ref="D171" si="49">(MID(E171,1,3))</f>
        <v>232</v>
      </c>
      <c r="E171" s="17">
        <v>2329</v>
      </c>
      <c r="F171" s="37" t="s">
        <v>144</v>
      </c>
      <c r="G171" s="292"/>
      <c r="H171" s="292"/>
      <c r="I171" s="38">
        <v>420</v>
      </c>
      <c r="J171" s="34">
        <f t="shared" si="42"/>
        <v>0</v>
      </c>
      <c r="K171" s="35">
        <f t="shared" si="43"/>
        <v>0</v>
      </c>
    </row>
    <row r="172" spans="1:12" x14ac:dyDescent="0.2">
      <c r="A172" s="93">
        <v>5800</v>
      </c>
      <c r="B172" s="92">
        <v>2219</v>
      </c>
      <c r="C172" s="67" t="s">
        <v>50</v>
      </c>
      <c r="D172" s="9" t="str">
        <f t="shared" ref="D172" si="50">(MID(E172,1,3))</f>
        <v>232</v>
      </c>
      <c r="E172" s="17">
        <v>2329</v>
      </c>
      <c r="F172" s="37" t="s">
        <v>144</v>
      </c>
      <c r="G172" s="292"/>
      <c r="H172" s="292"/>
      <c r="I172" s="38">
        <v>109</v>
      </c>
      <c r="J172" s="34">
        <f t="shared" si="42"/>
        <v>0</v>
      </c>
      <c r="K172" s="35">
        <f t="shared" si="43"/>
        <v>0</v>
      </c>
    </row>
    <row r="173" spans="1:12" x14ac:dyDescent="0.2">
      <c r="A173" s="28">
        <v>6300</v>
      </c>
      <c r="B173" s="29">
        <v>3639</v>
      </c>
      <c r="C173" s="67" t="s">
        <v>119</v>
      </c>
      <c r="D173" s="9" t="str">
        <f t="shared" si="47"/>
        <v>232</v>
      </c>
      <c r="E173" s="17">
        <v>2329</v>
      </c>
      <c r="F173" s="37" t="s">
        <v>144</v>
      </c>
      <c r="G173" s="294">
        <v>50</v>
      </c>
      <c r="H173" s="294">
        <v>50</v>
      </c>
      <c r="I173" s="31">
        <v>988</v>
      </c>
      <c r="J173" s="34">
        <f t="shared" si="42"/>
        <v>1976.0000000000002</v>
      </c>
      <c r="K173" s="35">
        <f t="shared" si="43"/>
        <v>1976.0000000000002</v>
      </c>
    </row>
    <row r="174" spans="1:12" x14ac:dyDescent="0.2">
      <c r="A174" s="28">
        <v>6600</v>
      </c>
      <c r="B174" s="29">
        <v>3612</v>
      </c>
      <c r="C174" s="67" t="s">
        <v>11</v>
      </c>
      <c r="D174" s="9" t="str">
        <f>(MID(E174,1,3))</f>
        <v>232</v>
      </c>
      <c r="E174" s="17">
        <v>2329</v>
      </c>
      <c r="F174" s="37" t="s">
        <v>144</v>
      </c>
      <c r="G174" s="294"/>
      <c r="H174" s="294"/>
      <c r="I174" s="31">
        <v>23</v>
      </c>
      <c r="J174" s="34">
        <f t="shared" si="42"/>
        <v>0</v>
      </c>
      <c r="K174" s="35">
        <f t="shared" si="43"/>
        <v>0</v>
      </c>
    </row>
    <row r="175" spans="1:12" x14ac:dyDescent="0.2">
      <c r="A175" s="28">
        <v>6600</v>
      </c>
      <c r="B175" s="29">
        <v>3639</v>
      </c>
      <c r="C175" s="67" t="s">
        <v>119</v>
      </c>
      <c r="D175" s="9" t="str">
        <f t="shared" si="47"/>
        <v>232</v>
      </c>
      <c r="E175" s="17">
        <v>2329</v>
      </c>
      <c r="F175" s="37" t="s">
        <v>144</v>
      </c>
      <c r="G175" s="294"/>
      <c r="H175" s="294"/>
      <c r="I175" s="31">
        <v>126</v>
      </c>
      <c r="J175" s="34">
        <f t="shared" si="42"/>
        <v>0</v>
      </c>
      <c r="K175" s="35">
        <f t="shared" si="43"/>
        <v>0</v>
      </c>
    </row>
    <row r="176" spans="1:12" x14ac:dyDescent="0.2">
      <c r="A176" s="28">
        <v>6600</v>
      </c>
      <c r="B176" s="29">
        <v>6171</v>
      </c>
      <c r="C176" s="67" t="s">
        <v>9</v>
      </c>
      <c r="D176" s="9" t="str">
        <f t="shared" si="47"/>
        <v>232</v>
      </c>
      <c r="E176" s="17">
        <v>2329</v>
      </c>
      <c r="F176" s="37" t="s">
        <v>144</v>
      </c>
      <c r="G176" s="294"/>
      <c r="H176" s="294"/>
      <c r="I176" s="31">
        <v>7</v>
      </c>
      <c r="J176" s="34">
        <f t="shared" si="42"/>
        <v>0</v>
      </c>
      <c r="K176" s="35">
        <f t="shared" si="43"/>
        <v>0</v>
      </c>
    </row>
    <row r="177" spans="1:11" x14ac:dyDescent="0.2">
      <c r="A177" s="93">
        <v>6700</v>
      </c>
      <c r="B177" s="92">
        <v>3419</v>
      </c>
      <c r="C177" s="30" t="s">
        <v>46</v>
      </c>
      <c r="D177" s="9" t="str">
        <f t="shared" si="47"/>
        <v>232</v>
      </c>
      <c r="E177" s="92">
        <v>2329</v>
      </c>
      <c r="F177" s="37" t="s">
        <v>144</v>
      </c>
      <c r="G177" s="292"/>
      <c r="H177" s="292"/>
      <c r="I177" s="38">
        <v>258</v>
      </c>
      <c r="J177" s="34">
        <f t="shared" si="42"/>
        <v>0</v>
      </c>
      <c r="K177" s="35">
        <f t="shared" si="43"/>
        <v>0</v>
      </c>
    </row>
    <row r="178" spans="1:11" x14ac:dyDescent="0.2">
      <c r="A178" s="93">
        <v>7100</v>
      </c>
      <c r="B178" s="92">
        <v>6171</v>
      </c>
      <c r="C178" s="63" t="s">
        <v>9</v>
      </c>
      <c r="D178" s="9" t="str">
        <f t="shared" si="47"/>
        <v>232</v>
      </c>
      <c r="E178" s="92">
        <v>2329</v>
      </c>
      <c r="F178" s="37" t="s">
        <v>144</v>
      </c>
      <c r="G178" s="292">
        <v>50</v>
      </c>
      <c r="H178" s="292">
        <v>50</v>
      </c>
      <c r="I178" s="38">
        <v>59</v>
      </c>
      <c r="J178" s="34">
        <f t="shared" si="42"/>
        <v>118</v>
      </c>
      <c r="K178" s="35">
        <f t="shared" si="43"/>
        <v>118</v>
      </c>
    </row>
    <row r="179" spans="1:11" x14ac:dyDescent="0.2">
      <c r="A179" s="93">
        <v>7200</v>
      </c>
      <c r="B179" s="92">
        <v>4341</v>
      </c>
      <c r="C179" s="30" t="s">
        <v>203</v>
      </c>
      <c r="D179" s="9" t="str">
        <f>(MID(E179,1,3))</f>
        <v>232</v>
      </c>
      <c r="E179" s="92">
        <v>2329</v>
      </c>
      <c r="F179" s="37" t="s">
        <v>144</v>
      </c>
      <c r="G179" s="292"/>
      <c r="H179" s="292"/>
      <c r="I179" s="38">
        <v>6</v>
      </c>
      <c r="J179" s="34">
        <f t="shared" ref="J179:J183" si="51">IF(G179&lt;=0,0,$I179/G179*100)</f>
        <v>0</v>
      </c>
      <c r="K179" s="35">
        <f t="shared" ref="K179:K183" si="52">IF(H179&lt;=0,0,$I179/H179*100)</f>
        <v>0</v>
      </c>
    </row>
    <row r="180" spans="1:11" x14ac:dyDescent="0.2">
      <c r="A180" s="93">
        <v>7200</v>
      </c>
      <c r="B180" s="92">
        <v>6171</v>
      </c>
      <c r="C180" s="63" t="s">
        <v>9</v>
      </c>
      <c r="D180" s="9" t="str">
        <f t="shared" si="47"/>
        <v>232</v>
      </c>
      <c r="E180" s="92">
        <v>2329</v>
      </c>
      <c r="F180" s="37" t="s">
        <v>144</v>
      </c>
      <c r="G180" s="292"/>
      <c r="H180" s="292"/>
      <c r="I180" s="38">
        <v>23</v>
      </c>
      <c r="J180" s="34">
        <f t="shared" si="51"/>
        <v>0</v>
      </c>
      <c r="K180" s="35">
        <f t="shared" si="52"/>
        <v>0</v>
      </c>
    </row>
    <row r="181" spans="1:11" x14ac:dyDescent="0.2">
      <c r="A181" s="93">
        <v>8200</v>
      </c>
      <c r="B181" s="92">
        <v>1014</v>
      </c>
      <c r="C181" s="69" t="s">
        <v>161</v>
      </c>
      <c r="D181" s="9" t="str">
        <f t="shared" si="47"/>
        <v>232</v>
      </c>
      <c r="E181" s="92">
        <v>2329</v>
      </c>
      <c r="F181" s="37" t="s">
        <v>144</v>
      </c>
      <c r="G181" s="292">
        <v>200</v>
      </c>
      <c r="H181" s="292">
        <v>200</v>
      </c>
      <c r="I181" s="38">
        <v>200</v>
      </c>
      <c r="J181" s="34">
        <f t="shared" si="51"/>
        <v>100</v>
      </c>
      <c r="K181" s="35">
        <f t="shared" si="52"/>
        <v>100</v>
      </c>
    </row>
    <row r="182" spans="1:11" x14ac:dyDescent="0.2">
      <c r="A182" s="28">
        <v>8200</v>
      </c>
      <c r="B182" s="29">
        <v>5311</v>
      </c>
      <c r="C182" s="67" t="s">
        <v>84</v>
      </c>
      <c r="D182" s="9" t="str">
        <f t="shared" si="47"/>
        <v>232</v>
      </c>
      <c r="E182" s="92">
        <v>2329</v>
      </c>
      <c r="F182" s="37" t="s">
        <v>144</v>
      </c>
      <c r="G182" s="294"/>
      <c r="H182" s="294"/>
      <c r="I182" s="31">
        <v>15</v>
      </c>
      <c r="J182" s="34">
        <f t="shared" si="51"/>
        <v>0</v>
      </c>
      <c r="K182" s="35">
        <f t="shared" si="52"/>
        <v>0</v>
      </c>
    </row>
    <row r="183" spans="1:11" x14ac:dyDescent="0.2">
      <c r="A183" s="16">
        <v>4200</v>
      </c>
      <c r="B183" s="17">
        <v>2119</v>
      </c>
      <c r="C183" s="63" t="s">
        <v>257</v>
      </c>
      <c r="D183" s="9" t="str">
        <f t="shared" si="47"/>
        <v>234</v>
      </c>
      <c r="E183" s="17">
        <v>2343</v>
      </c>
      <c r="F183" s="116" t="s">
        <v>145</v>
      </c>
      <c r="G183" s="293">
        <v>150</v>
      </c>
      <c r="H183" s="293">
        <v>150</v>
      </c>
      <c r="I183" s="19">
        <v>183</v>
      </c>
      <c r="J183" s="34">
        <f t="shared" si="51"/>
        <v>122</v>
      </c>
      <c r="K183" s="35">
        <f t="shared" si="52"/>
        <v>122</v>
      </c>
    </row>
    <row r="184" spans="1:11" ht="13.5" thickBot="1" x14ac:dyDescent="0.25">
      <c r="A184" s="70"/>
      <c r="B184" s="71"/>
      <c r="C184" s="72"/>
      <c r="D184" s="73" t="s">
        <v>146</v>
      </c>
      <c r="E184" s="71"/>
      <c r="F184" s="74"/>
      <c r="G184" s="295">
        <f>SUBTOTAL(9,G121:G183)</f>
        <v>49463</v>
      </c>
      <c r="H184" s="295">
        <f>SUBTOTAL(9,H121:H183)</f>
        <v>50703</v>
      </c>
      <c r="I184" s="75">
        <f>SUBTOTAL(9,I121:I183)</f>
        <v>81121</v>
      </c>
      <c r="J184" s="76">
        <f t="shared" ref="J184:J200" si="53">IF(G184&lt;=0,0,$I184/G184*100)</f>
        <v>164.0033964781756</v>
      </c>
      <c r="K184" s="77">
        <f t="shared" ref="K184:K200" si="54">IF(H184&lt;=0,0,$I184/H184*100)</f>
        <v>159.99250537443544</v>
      </c>
    </row>
    <row r="185" spans="1:11" x14ac:dyDescent="0.2">
      <c r="A185" s="16"/>
      <c r="B185" s="17"/>
      <c r="C185" s="63"/>
      <c r="D185" s="9"/>
      <c r="E185" s="17"/>
      <c r="F185" s="18"/>
      <c r="G185" s="293"/>
      <c r="H185" s="293"/>
      <c r="I185" s="19"/>
      <c r="J185" s="34">
        <f t="shared" si="53"/>
        <v>0</v>
      </c>
      <c r="K185" s="35">
        <f t="shared" si="54"/>
        <v>0</v>
      </c>
    </row>
    <row r="186" spans="1:11" x14ac:dyDescent="0.2">
      <c r="A186" s="85" t="s">
        <v>176</v>
      </c>
      <c r="B186" s="17"/>
      <c r="C186" s="63"/>
      <c r="D186" s="26"/>
      <c r="E186" s="17"/>
      <c r="F186" s="18"/>
      <c r="G186" s="297"/>
      <c r="H186" s="297"/>
      <c r="I186" s="90"/>
      <c r="J186" s="91">
        <f t="shared" si="53"/>
        <v>0</v>
      </c>
      <c r="K186" s="86">
        <f t="shared" si="54"/>
        <v>0</v>
      </c>
    </row>
    <row r="187" spans="1:11" x14ac:dyDescent="0.2">
      <c r="A187" s="39">
        <v>6200</v>
      </c>
      <c r="B187" s="41"/>
      <c r="C187" s="117"/>
      <c r="D187" s="9" t="str">
        <f>(MID(E187,1,3))</f>
        <v>241</v>
      </c>
      <c r="E187" s="17">
        <v>2412</v>
      </c>
      <c r="F187" s="116" t="s">
        <v>205</v>
      </c>
      <c r="G187" s="300">
        <v>2717</v>
      </c>
      <c r="H187" s="300">
        <v>2717</v>
      </c>
      <c r="I187" s="118">
        <v>2436</v>
      </c>
      <c r="J187" s="34">
        <f t="shared" si="53"/>
        <v>89.657710710342286</v>
      </c>
      <c r="K187" s="35">
        <f t="shared" si="54"/>
        <v>89.657710710342286</v>
      </c>
    </row>
    <row r="188" spans="1:11" ht="13.5" thickBot="1" x14ac:dyDescent="0.25">
      <c r="A188" s="70"/>
      <c r="B188" s="71"/>
      <c r="C188" s="72"/>
      <c r="D188" s="73" t="s">
        <v>157</v>
      </c>
      <c r="E188" s="71"/>
      <c r="F188" s="74"/>
      <c r="G188" s="295">
        <f>SUBTOTAL(9,G187:G187)</f>
        <v>2717</v>
      </c>
      <c r="H188" s="295">
        <f>SUBTOTAL(9,H187:H187)</f>
        <v>2717</v>
      </c>
      <c r="I188" s="75">
        <f>SUBTOTAL(9,I187:I187)</f>
        <v>2436</v>
      </c>
      <c r="J188" s="76">
        <f t="shared" si="53"/>
        <v>89.657710710342286</v>
      </c>
      <c r="K188" s="77">
        <f t="shared" si="54"/>
        <v>89.657710710342286</v>
      </c>
    </row>
    <row r="189" spans="1:11" x14ac:dyDescent="0.2">
      <c r="A189" s="39"/>
      <c r="B189" s="41"/>
      <c r="C189" s="119"/>
      <c r="D189" s="120"/>
      <c r="E189" s="41"/>
      <c r="F189" s="121"/>
      <c r="G189" s="298"/>
      <c r="H189" s="298"/>
      <c r="I189" s="122"/>
      <c r="J189" s="106"/>
      <c r="K189" s="107"/>
    </row>
    <row r="190" spans="1:11" x14ac:dyDescent="0.2">
      <c r="A190" s="85" t="s">
        <v>197</v>
      </c>
      <c r="B190" s="17"/>
      <c r="C190" s="63"/>
      <c r="D190" s="109"/>
      <c r="E190" s="17"/>
      <c r="F190" s="18"/>
      <c r="G190" s="297"/>
      <c r="H190" s="297"/>
      <c r="I190" s="90"/>
      <c r="J190" s="91">
        <f t="shared" ref="J190:K194" si="55">IF(G190&lt;=0,0,$I190/G190*100)</f>
        <v>0</v>
      </c>
      <c r="K190" s="86">
        <f t="shared" si="55"/>
        <v>0</v>
      </c>
    </row>
    <row r="191" spans="1:11" x14ac:dyDescent="0.2">
      <c r="A191" s="39">
        <v>5600</v>
      </c>
      <c r="B191" s="41"/>
      <c r="C191" s="117"/>
      <c r="D191" s="9" t="str">
        <f>(MID(E191,1,3))</f>
        <v>245</v>
      </c>
      <c r="E191" s="17">
        <v>2451</v>
      </c>
      <c r="F191" s="18" t="s">
        <v>196</v>
      </c>
      <c r="G191" s="300"/>
      <c r="H191" s="300"/>
      <c r="I191" s="118"/>
      <c r="J191" s="20">
        <f>IF(G191&lt;=0,0,$I191/G191*100)</f>
        <v>0</v>
      </c>
      <c r="K191" s="21">
        <f>IF(H191&lt;=0,0,$I191/H191*100)</f>
        <v>0</v>
      </c>
    </row>
    <row r="192" spans="1:11" x14ac:dyDescent="0.2">
      <c r="A192" s="16">
        <v>5900</v>
      </c>
      <c r="B192" s="17"/>
      <c r="C192" s="63"/>
      <c r="D192" s="63" t="str">
        <f>(MID(E192,1,3))</f>
        <v>245</v>
      </c>
      <c r="E192" s="17">
        <v>2451</v>
      </c>
      <c r="F192" s="18" t="s">
        <v>196</v>
      </c>
      <c r="G192" s="293">
        <v>54537</v>
      </c>
      <c r="H192" s="293">
        <v>54537</v>
      </c>
      <c r="I192" s="19">
        <v>54535</v>
      </c>
      <c r="J192" s="34">
        <f>IF(G192&lt;=0,0,$I192/G192*100)</f>
        <v>99.996332764911898</v>
      </c>
      <c r="K192" s="35">
        <f>IF(H192&lt;=0,0,$I192/H192*100)</f>
        <v>99.996332764911898</v>
      </c>
    </row>
    <row r="193" spans="1:12" x14ac:dyDescent="0.2">
      <c r="A193" s="16">
        <v>7100</v>
      </c>
      <c r="B193" s="17"/>
      <c r="C193" s="63"/>
      <c r="D193" s="63" t="str">
        <f>(MID(E193,1,3))</f>
        <v>245</v>
      </c>
      <c r="E193" s="17">
        <v>2451</v>
      </c>
      <c r="F193" s="18" t="s">
        <v>196</v>
      </c>
      <c r="G193" s="293">
        <v>20000</v>
      </c>
      <c r="H193" s="293">
        <v>20000</v>
      </c>
      <c r="I193" s="19">
        <v>30000</v>
      </c>
      <c r="J193" s="34">
        <f t="shared" ref="J193" si="56">IF(G193&lt;=0,0,$I193/G193*100)</f>
        <v>150</v>
      </c>
      <c r="K193" s="35">
        <f t="shared" ref="K193" si="57">IF(H193&lt;=0,0,$I193/H193*100)</f>
        <v>150</v>
      </c>
      <c r="L193" s="331"/>
    </row>
    <row r="194" spans="1:12" ht="13.5" thickBot="1" x14ac:dyDescent="0.25">
      <c r="A194" s="70"/>
      <c r="B194" s="71"/>
      <c r="C194" s="72"/>
      <c r="D194" s="73" t="s">
        <v>198</v>
      </c>
      <c r="E194" s="71"/>
      <c r="F194" s="74"/>
      <c r="G194" s="295">
        <f>SUBTOTAL(9,G191:G193)</f>
        <v>74537</v>
      </c>
      <c r="H194" s="295">
        <f>SUBTOTAL(9,H191:H193)</f>
        <v>74537</v>
      </c>
      <c r="I194" s="75">
        <f>SUBTOTAL(9,I191:I193)</f>
        <v>84535</v>
      </c>
      <c r="J194" s="76">
        <f t="shared" si="55"/>
        <v>113.41347250358882</v>
      </c>
      <c r="K194" s="77">
        <f t="shared" si="55"/>
        <v>113.41347250358882</v>
      </c>
    </row>
    <row r="195" spans="1:12" x14ac:dyDescent="0.2">
      <c r="A195" s="39"/>
      <c r="B195" s="41"/>
      <c r="C195" s="119"/>
      <c r="D195" s="120"/>
      <c r="E195" s="41"/>
      <c r="F195" s="121"/>
      <c r="G195" s="298"/>
      <c r="H195" s="298"/>
      <c r="I195" s="122"/>
      <c r="J195" s="106">
        <f t="shared" si="53"/>
        <v>0</v>
      </c>
      <c r="K195" s="107">
        <f t="shared" si="54"/>
        <v>0</v>
      </c>
    </row>
    <row r="196" spans="1:12" x14ac:dyDescent="0.2">
      <c r="A196" s="85" t="s">
        <v>147</v>
      </c>
      <c r="B196" s="123"/>
      <c r="C196" s="124"/>
      <c r="D196" s="109"/>
      <c r="E196" s="17"/>
      <c r="F196" s="18"/>
      <c r="G196" s="297"/>
      <c r="H196" s="297"/>
      <c r="I196" s="90"/>
      <c r="J196" s="91">
        <f t="shared" si="53"/>
        <v>0</v>
      </c>
      <c r="K196" s="86">
        <f t="shared" si="54"/>
        <v>0</v>
      </c>
    </row>
    <row r="197" spans="1:12" x14ac:dyDescent="0.2">
      <c r="A197" s="125" t="s">
        <v>162</v>
      </c>
      <c r="B197" s="17"/>
      <c r="C197" s="63"/>
      <c r="D197" s="9" t="str">
        <f>(MID(E197,1,3))</f>
        <v>246</v>
      </c>
      <c r="E197" s="17">
        <v>2460</v>
      </c>
      <c r="F197" s="18" t="s">
        <v>147</v>
      </c>
      <c r="G197" s="293">
        <v>9462</v>
      </c>
      <c r="H197" s="293">
        <v>9462</v>
      </c>
      <c r="I197" s="19">
        <v>11016</v>
      </c>
      <c r="J197" s="34">
        <f t="shared" si="53"/>
        <v>116.42358909321497</v>
      </c>
      <c r="K197" s="35">
        <f t="shared" si="54"/>
        <v>116.42358909321497</v>
      </c>
      <c r="L197" s="331"/>
    </row>
    <row r="198" spans="1:12" x14ac:dyDescent="0.2">
      <c r="A198" s="28">
        <v>7200</v>
      </c>
      <c r="B198" s="29"/>
      <c r="C198" s="126"/>
      <c r="D198" s="9" t="str">
        <f>(MID(E198,1,3))</f>
        <v>246</v>
      </c>
      <c r="E198" s="29">
        <v>2460</v>
      </c>
      <c r="F198" s="18" t="s">
        <v>147</v>
      </c>
      <c r="G198" s="294">
        <v>200</v>
      </c>
      <c r="H198" s="294">
        <v>200</v>
      </c>
      <c r="I198" s="31">
        <v>38</v>
      </c>
      <c r="J198" s="34">
        <f t="shared" si="53"/>
        <v>19</v>
      </c>
      <c r="K198" s="35">
        <f t="shared" si="54"/>
        <v>19</v>
      </c>
    </row>
    <row r="199" spans="1:12" ht="13.5" thickBot="1" x14ac:dyDescent="0.25">
      <c r="A199" s="70"/>
      <c r="B199" s="71"/>
      <c r="C199" s="72"/>
      <c r="D199" s="73" t="s">
        <v>148</v>
      </c>
      <c r="E199" s="71"/>
      <c r="F199" s="74"/>
      <c r="G199" s="295">
        <f>SUBTOTAL(9,G197:G198)</f>
        <v>9662</v>
      </c>
      <c r="H199" s="295">
        <f>SUBTOTAL(9,H197:H198)</f>
        <v>9662</v>
      </c>
      <c r="I199" s="75">
        <f>SUBTOTAL(9,I197:I198)</f>
        <v>11054</v>
      </c>
      <c r="J199" s="76">
        <f t="shared" si="53"/>
        <v>114.40695508176361</v>
      </c>
      <c r="K199" s="77">
        <f t="shared" si="54"/>
        <v>114.40695508176361</v>
      </c>
    </row>
    <row r="200" spans="1:12" ht="15.75" thickBot="1" x14ac:dyDescent="0.3">
      <c r="A200" s="127"/>
      <c r="B200" s="128"/>
      <c r="C200" s="129"/>
      <c r="D200" s="47" t="s">
        <v>149</v>
      </c>
      <c r="E200" s="128"/>
      <c r="F200" s="130"/>
      <c r="G200" s="327">
        <f>SUBTOTAL(9,G3:G199)</f>
        <v>621241</v>
      </c>
      <c r="H200" s="327">
        <f>SUBTOTAL(9,H3:H199)</f>
        <v>634288</v>
      </c>
      <c r="I200" s="131">
        <f>SUBTOTAL(9,I3:I199)</f>
        <v>652616</v>
      </c>
      <c r="J200" s="132">
        <f t="shared" si="53"/>
        <v>105.05037497525116</v>
      </c>
      <c r="K200" s="133">
        <f t="shared" si="54"/>
        <v>102.8895391367959</v>
      </c>
    </row>
  </sheetData>
  <phoneticPr fontId="0" type="noConversion"/>
  <printOptions horizontalCentered="1"/>
  <pageMargins left="0.59055118110236227" right="0.59055118110236227" top="0.74803149606299213" bottom="0.39370078740157483" header="0.35433070866141736" footer="0.27559055118110237"/>
  <pageSetup paperSize="9" scale="84" fitToHeight="4" orientation="landscape" r:id="rId1"/>
  <headerFooter alignWithMargins="0">
    <oddHeader>&amp;C&amp;"Calibri Light,Obyčejné"&amp;14Plnění rozpočtu nedaňových příjmů města k 31.12.2016 (v tis. Kč)</oddHeader>
  </headerFooter>
  <rowBreaks count="1" manualBreakCount="1">
    <brk id="188" max="10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1"/>
  <sheetViews>
    <sheetView showZeros="0" zoomScaleNormal="100" zoomScaleSheetLayoutView="75" workbookViewId="0">
      <pane xSplit="5" ySplit="1" topLeftCell="F2" activePane="bottomRight" state="frozenSplit"/>
      <selection pane="topRight" activeCell="F1" sqref="F1"/>
      <selection pane="bottomLeft" activeCell="A3" sqref="A3"/>
      <selection pane="bottomRight" activeCell="L8" sqref="L8"/>
    </sheetView>
  </sheetViews>
  <sheetFormatPr defaultRowHeight="12.75" x14ac:dyDescent="0.2"/>
  <cols>
    <col min="1" max="1" width="5.5703125" style="53" customWidth="1"/>
    <col min="2" max="2" width="5.5703125" style="55" customWidth="1"/>
    <col min="3" max="3" width="28" style="54" bestFit="1" customWidth="1"/>
    <col min="4" max="4" width="7.28515625" style="54" bestFit="1" customWidth="1"/>
    <col min="5" max="5" width="5.5703125" style="55" customWidth="1"/>
    <col min="6" max="6" width="39.85546875" style="56" bestFit="1" customWidth="1"/>
    <col min="7" max="7" width="13.42578125" style="57" customWidth="1"/>
    <col min="8" max="8" width="13.5703125" style="57" customWidth="1"/>
    <col min="9" max="9" width="15.28515625" style="57" customWidth="1"/>
    <col min="10" max="11" width="8.140625" style="58" bestFit="1" customWidth="1"/>
    <col min="12" max="16384" width="9.140625" style="27"/>
  </cols>
  <sheetData>
    <row r="1" spans="1:12" s="7" customFormat="1" ht="13.5" thickBot="1" x14ac:dyDescent="0.25">
      <c r="A1" s="1" t="s">
        <v>215</v>
      </c>
      <c r="B1" s="3" t="s">
        <v>0</v>
      </c>
      <c r="C1" s="2" t="s">
        <v>116</v>
      </c>
      <c r="D1" s="2" t="s">
        <v>95</v>
      </c>
      <c r="E1" s="3" t="s">
        <v>96</v>
      </c>
      <c r="F1" s="2" t="s">
        <v>97</v>
      </c>
      <c r="G1" s="4" t="s">
        <v>275</v>
      </c>
      <c r="H1" s="4" t="s">
        <v>294</v>
      </c>
      <c r="I1" s="134" t="s">
        <v>295</v>
      </c>
      <c r="J1" s="5" t="s">
        <v>98</v>
      </c>
      <c r="K1" s="6" t="s">
        <v>99</v>
      </c>
    </row>
    <row r="2" spans="1:12" s="7" customFormat="1" x14ac:dyDescent="0.2">
      <c r="A2" s="135" t="s">
        <v>159</v>
      </c>
      <c r="B2" s="136"/>
      <c r="C2" s="137"/>
      <c r="D2" s="137"/>
      <c r="E2" s="136"/>
      <c r="F2" s="137"/>
      <c r="G2" s="138"/>
      <c r="H2" s="138"/>
      <c r="I2" s="138"/>
      <c r="J2" s="139"/>
      <c r="K2" s="140"/>
    </row>
    <row r="3" spans="1:12" x14ac:dyDescent="0.2">
      <c r="A3" s="28">
        <v>5600</v>
      </c>
      <c r="B3" s="29">
        <v>2321</v>
      </c>
      <c r="C3" s="67" t="s">
        <v>276</v>
      </c>
      <c r="D3" s="18">
        <v>311</v>
      </c>
      <c r="E3" s="29">
        <v>3111</v>
      </c>
      <c r="F3" s="30" t="s">
        <v>150</v>
      </c>
      <c r="G3" s="294">
        <v>304678</v>
      </c>
      <c r="H3" s="294">
        <v>304678</v>
      </c>
      <c r="I3" s="31">
        <v>304678</v>
      </c>
      <c r="J3" s="20">
        <f>IF(G3&lt;=0,0,$I3/G3*100)</f>
        <v>100</v>
      </c>
      <c r="K3" s="33">
        <f>IF(H3&lt;=0,0,$I3/H3*100)</f>
        <v>100</v>
      </c>
    </row>
    <row r="4" spans="1:12" x14ac:dyDescent="0.2">
      <c r="A4" s="28">
        <v>6200</v>
      </c>
      <c r="B4" s="29">
        <v>3612</v>
      </c>
      <c r="C4" s="68" t="s">
        <v>11</v>
      </c>
      <c r="D4" s="63" t="str">
        <f t="shared" ref="D4:D9" si="0">(MID(E4,1,3))</f>
        <v>311</v>
      </c>
      <c r="E4" s="29">
        <v>3111</v>
      </c>
      <c r="F4" s="30" t="s">
        <v>150</v>
      </c>
      <c r="G4" s="294"/>
      <c r="H4" s="294"/>
      <c r="I4" s="31">
        <v>6994</v>
      </c>
      <c r="J4" s="20">
        <f>IF(G4&lt;=0,0,$I4/G4*100)</f>
        <v>0</v>
      </c>
      <c r="K4" s="33">
        <f>IF(H4&lt;=0,0,$I4/H4*100)</f>
        <v>0</v>
      </c>
      <c r="L4" s="331"/>
    </row>
    <row r="5" spans="1:12" x14ac:dyDescent="0.2">
      <c r="A5" s="28">
        <v>6300</v>
      </c>
      <c r="B5" s="29">
        <v>3639</v>
      </c>
      <c r="C5" s="67" t="s">
        <v>119</v>
      </c>
      <c r="D5" s="63" t="str">
        <f t="shared" si="0"/>
        <v>311</v>
      </c>
      <c r="E5" s="29">
        <v>3111</v>
      </c>
      <c r="F5" s="30" t="s">
        <v>150</v>
      </c>
      <c r="G5" s="294">
        <v>90000</v>
      </c>
      <c r="H5" s="294">
        <v>90000</v>
      </c>
      <c r="I5" s="31">
        <v>24582</v>
      </c>
      <c r="J5" s="20">
        <f t="shared" ref="J5:K7" si="1">IF(G5&lt;=0,0,$I5/G5*100)</f>
        <v>27.313333333333333</v>
      </c>
      <c r="K5" s="33">
        <f t="shared" si="1"/>
        <v>27.313333333333333</v>
      </c>
      <c r="L5" s="331"/>
    </row>
    <row r="6" spans="1:12" x14ac:dyDescent="0.2">
      <c r="A6" s="28">
        <v>5600</v>
      </c>
      <c r="B6" s="29">
        <v>2321</v>
      </c>
      <c r="C6" s="67" t="s">
        <v>276</v>
      </c>
      <c r="D6" s="18">
        <v>311</v>
      </c>
      <c r="E6" s="29">
        <v>3112</v>
      </c>
      <c r="F6" s="87" t="s">
        <v>151</v>
      </c>
      <c r="G6" s="294">
        <v>145322</v>
      </c>
      <c r="H6" s="294">
        <v>145322</v>
      </c>
      <c r="I6" s="31">
        <v>145322</v>
      </c>
      <c r="J6" s="20">
        <f>IF(G6&lt;=0,0,$I6/G6*100)</f>
        <v>100</v>
      </c>
      <c r="K6" s="33">
        <f>IF(H6&lt;=0,0,$I6/H6*100)</f>
        <v>100</v>
      </c>
    </row>
    <row r="7" spans="1:12" x14ac:dyDescent="0.2">
      <c r="A7" s="95" t="s">
        <v>162</v>
      </c>
      <c r="B7" s="92">
        <v>3612</v>
      </c>
      <c r="C7" s="68" t="s">
        <v>11</v>
      </c>
      <c r="D7" s="63" t="str">
        <f t="shared" si="0"/>
        <v>311</v>
      </c>
      <c r="E7" s="92">
        <v>3112</v>
      </c>
      <c r="F7" s="87" t="s">
        <v>151</v>
      </c>
      <c r="G7" s="292">
        <v>247680</v>
      </c>
      <c r="H7" s="292">
        <v>247680</v>
      </c>
      <c r="I7" s="38">
        <v>303884</v>
      </c>
      <c r="J7" s="20">
        <f t="shared" si="1"/>
        <v>122.6921834625323</v>
      </c>
      <c r="K7" s="33">
        <f t="shared" si="1"/>
        <v>122.6921834625323</v>
      </c>
      <c r="L7" s="331"/>
    </row>
    <row r="8" spans="1:12" x14ac:dyDescent="0.2">
      <c r="A8" s="28">
        <v>6300</v>
      </c>
      <c r="B8" s="29">
        <v>3639</v>
      </c>
      <c r="C8" s="67" t="s">
        <v>119</v>
      </c>
      <c r="D8" s="63" t="str">
        <f t="shared" si="0"/>
        <v>311</v>
      </c>
      <c r="E8" s="29">
        <v>3112</v>
      </c>
      <c r="F8" s="87" t="s">
        <v>151</v>
      </c>
      <c r="G8" s="301">
        <v>6900</v>
      </c>
      <c r="H8" s="301">
        <v>6900</v>
      </c>
      <c r="I8" s="141">
        <v>104310</v>
      </c>
      <c r="J8" s="20">
        <f t="shared" ref="J8:K10" si="2">IF(G8&lt;=0,0,$I8/G8*100)</f>
        <v>1511.7391304347827</v>
      </c>
      <c r="K8" s="33">
        <f t="shared" si="2"/>
        <v>1511.7391304347827</v>
      </c>
      <c r="L8" s="331"/>
    </row>
    <row r="9" spans="1:12" x14ac:dyDescent="0.2">
      <c r="A9" s="142">
        <v>8200</v>
      </c>
      <c r="B9" s="143">
        <v>5311</v>
      </c>
      <c r="C9" s="67" t="s">
        <v>84</v>
      </c>
      <c r="D9" s="144" t="str">
        <f t="shared" si="0"/>
        <v>311</v>
      </c>
      <c r="E9" s="143">
        <v>3113</v>
      </c>
      <c r="F9" s="30" t="s">
        <v>152</v>
      </c>
      <c r="G9" s="301">
        <v>200</v>
      </c>
      <c r="H9" s="301">
        <v>200</v>
      </c>
      <c r="I9" s="141">
        <v>935</v>
      </c>
      <c r="J9" s="145">
        <f t="shared" si="2"/>
        <v>467.5</v>
      </c>
      <c r="K9" s="33">
        <f t="shared" si="2"/>
        <v>467.5</v>
      </c>
    </row>
    <row r="10" spans="1:12" ht="13.5" thickBot="1" x14ac:dyDescent="0.25">
      <c r="A10" s="146"/>
      <c r="B10" s="147"/>
      <c r="C10" s="148"/>
      <c r="D10" s="73" t="s">
        <v>153</v>
      </c>
      <c r="E10" s="147"/>
      <c r="F10" s="149"/>
      <c r="G10" s="302">
        <f>SUBTOTAL(9,G3:G9)</f>
        <v>794780</v>
      </c>
      <c r="H10" s="302">
        <f>SUBTOTAL(9,H3:H9)</f>
        <v>794780</v>
      </c>
      <c r="I10" s="150">
        <f>SUBTOTAL(9,I3:I9)</f>
        <v>890705</v>
      </c>
      <c r="J10" s="110">
        <f t="shared" si="2"/>
        <v>112.06937768942349</v>
      </c>
      <c r="K10" s="111">
        <f t="shared" si="2"/>
        <v>112.06937768942349</v>
      </c>
    </row>
    <row r="11" spans="1:12" ht="13.5" thickBot="1" x14ac:dyDescent="0.25">
      <c r="A11" s="146"/>
      <c r="B11" s="147"/>
      <c r="C11" s="148"/>
      <c r="D11" s="73" t="s">
        <v>154</v>
      </c>
      <c r="E11" s="147"/>
      <c r="F11" s="149"/>
      <c r="G11" s="302">
        <f>SUBTOTAL(9,G3:G10)</f>
        <v>794780</v>
      </c>
      <c r="H11" s="302">
        <f>SUBTOTAL(9,H3:H10)</f>
        <v>794780</v>
      </c>
      <c r="I11" s="150">
        <f>SUBTOTAL(9,I3:I10)</f>
        <v>890705</v>
      </c>
      <c r="J11" s="110">
        <f>IF(G11&lt;=0,0,$I11/G11*100)</f>
        <v>112.06937768942349</v>
      </c>
      <c r="K11" s="111">
        <f>IF(H11&lt;=0,0,$I11/H11*100)</f>
        <v>112.06937768942349</v>
      </c>
    </row>
  </sheetData>
  <phoneticPr fontId="0" type="noConversion"/>
  <printOptions horizontalCentered="1"/>
  <pageMargins left="0.59055118110236227" right="0.59055118110236227" top="1.3385826771653544" bottom="0.70866141732283472" header="0.82677165354330717" footer="0.51181102362204722"/>
  <pageSetup paperSize="9" scale="91" orientation="landscape" r:id="rId1"/>
  <headerFooter alignWithMargins="0">
    <oddHeader>&amp;C&amp;"Calibri Light,Obyčejné"&amp;14Plnění rozpočtu kapitálových příjmů města k 31.12.2016 (v tis. Kč)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showZeros="0" zoomScaleNormal="100" zoomScaleSheetLayoutView="75" workbookViewId="0">
      <pane xSplit="6" ySplit="1" topLeftCell="G2" activePane="bottomRight" state="frozenSplit"/>
      <selection activeCell="H14" sqref="H14"/>
      <selection pane="topRight" activeCell="H14" sqref="H14"/>
      <selection pane="bottomLeft" activeCell="H14" sqref="H14"/>
      <selection pane="bottomRight" activeCell="M22" sqref="M22"/>
    </sheetView>
  </sheetViews>
  <sheetFormatPr defaultRowHeight="12.75" x14ac:dyDescent="0.2"/>
  <cols>
    <col min="1" max="1" width="5.42578125" style="53" customWidth="1"/>
    <col min="2" max="2" width="5" style="53" customWidth="1"/>
    <col min="3" max="3" width="29.28515625" style="53" customWidth="1"/>
    <col min="4" max="4" width="7.28515625" style="54" bestFit="1" customWidth="1"/>
    <col min="5" max="5" width="4.7109375" style="55" customWidth="1"/>
    <col min="6" max="6" width="41" style="56" customWidth="1"/>
    <col min="7" max="7" width="13.140625" style="57" customWidth="1"/>
    <col min="8" max="8" width="13.85546875" style="57" customWidth="1"/>
    <col min="9" max="9" width="15" style="57" customWidth="1"/>
    <col min="10" max="10" width="8.140625" style="58" customWidth="1"/>
    <col min="11" max="11" width="8.140625" style="58" bestFit="1" customWidth="1"/>
    <col min="12" max="16384" width="9.140625" style="27"/>
  </cols>
  <sheetData>
    <row r="1" spans="1:12" s="7" customFormat="1" ht="13.5" thickBot="1" x14ac:dyDescent="0.25">
      <c r="A1" s="1" t="s">
        <v>215</v>
      </c>
      <c r="B1" s="3" t="s">
        <v>0</v>
      </c>
      <c r="C1" s="2" t="s">
        <v>116</v>
      </c>
      <c r="D1" s="2" t="s">
        <v>95</v>
      </c>
      <c r="E1" s="3" t="s">
        <v>96</v>
      </c>
      <c r="F1" s="2" t="s">
        <v>97</v>
      </c>
      <c r="G1" s="4" t="s">
        <v>275</v>
      </c>
      <c r="H1" s="4" t="s">
        <v>294</v>
      </c>
      <c r="I1" s="4" t="s">
        <v>295</v>
      </c>
      <c r="J1" s="5" t="s">
        <v>98</v>
      </c>
      <c r="K1" s="6" t="s">
        <v>99</v>
      </c>
    </row>
    <row r="2" spans="1:12" x14ac:dyDescent="0.2">
      <c r="A2" s="16">
        <v>1700</v>
      </c>
      <c r="B2" s="151"/>
      <c r="C2" s="151"/>
      <c r="D2" s="117" t="str">
        <f t="shared" ref="D2:D10" si="0">(MID(E2,1,2))</f>
        <v>41</v>
      </c>
      <c r="E2" s="17">
        <v>4111</v>
      </c>
      <c r="F2" s="18" t="s">
        <v>291</v>
      </c>
      <c r="G2" s="293"/>
      <c r="H2" s="293">
        <v>105</v>
      </c>
      <c r="I2" s="19">
        <v>105</v>
      </c>
      <c r="J2" s="20">
        <f>IF(G2&lt;=0,0,$I2/G2*100)</f>
        <v>0</v>
      </c>
      <c r="K2" s="21">
        <f>IF(H2&lt;=0,0,$I2/H2*100)</f>
        <v>100</v>
      </c>
    </row>
    <row r="3" spans="1:12" x14ac:dyDescent="0.2">
      <c r="A3" s="16">
        <v>1700</v>
      </c>
      <c r="B3" s="151"/>
      <c r="C3" s="151"/>
      <c r="D3" s="117" t="str">
        <f t="shared" ref="D3" si="1">(MID(E3,1,2))</f>
        <v>41</v>
      </c>
      <c r="E3" s="17">
        <v>4112</v>
      </c>
      <c r="F3" s="18" t="s">
        <v>172</v>
      </c>
      <c r="G3" s="293">
        <v>163125</v>
      </c>
      <c r="H3" s="293">
        <v>163125</v>
      </c>
      <c r="I3" s="19">
        <v>163125</v>
      </c>
      <c r="J3" s="20">
        <f>IF(G3&lt;=0,0,$I3/G3*100)</f>
        <v>100</v>
      </c>
      <c r="K3" s="21">
        <f>IF(H3&lt;=0,0,$I3/H3*100)</f>
        <v>100</v>
      </c>
    </row>
    <row r="4" spans="1:12" x14ac:dyDescent="0.2">
      <c r="A4" s="16">
        <v>1700</v>
      </c>
      <c r="B4" s="151"/>
      <c r="C4" s="151"/>
      <c r="D4" s="117" t="str">
        <f t="shared" si="0"/>
        <v>41</v>
      </c>
      <c r="E4" s="17">
        <v>4113</v>
      </c>
      <c r="F4" s="18" t="s">
        <v>249</v>
      </c>
      <c r="G4" s="293"/>
      <c r="H4" s="293">
        <v>6</v>
      </c>
      <c r="I4" s="19">
        <v>6</v>
      </c>
      <c r="J4" s="20">
        <f t="shared" ref="J4:J18" si="2">IF(G4&lt;=0,0,$I4/G4*100)</f>
        <v>0</v>
      </c>
      <c r="K4" s="21">
        <f t="shared" ref="K4:K18" si="3">IF(H4&lt;=0,0,$I4/H4*100)</f>
        <v>100</v>
      </c>
    </row>
    <row r="5" spans="1:12" x14ac:dyDescent="0.2">
      <c r="A5" s="16">
        <v>1700</v>
      </c>
      <c r="B5" s="151"/>
      <c r="C5" s="151"/>
      <c r="D5" s="117" t="str">
        <f t="shared" si="0"/>
        <v>41</v>
      </c>
      <c r="E5" s="17">
        <v>4116</v>
      </c>
      <c r="F5" s="18" t="s">
        <v>173</v>
      </c>
      <c r="G5" s="293"/>
      <c r="H5" s="293">
        <v>85026</v>
      </c>
      <c r="I5" s="19">
        <v>85026</v>
      </c>
      <c r="J5" s="20">
        <f t="shared" si="2"/>
        <v>0</v>
      </c>
      <c r="K5" s="21">
        <f t="shared" si="3"/>
        <v>100</v>
      </c>
    </row>
    <row r="6" spans="1:12" x14ac:dyDescent="0.2">
      <c r="A6" s="16">
        <v>6700</v>
      </c>
      <c r="B6" s="151"/>
      <c r="C6" s="151"/>
      <c r="D6" s="117" t="str">
        <f t="shared" ref="D6" si="4">(MID(E6,1,2))</f>
        <v>41</v>
      </c>
      <c r="E6" s="17">
        <v>4116</v>
      </c>
      <c r="F6" s="18" t="s">
        <v>173</v>
      </c>
      <c r="G6" s="293"/>
      <c r="H6" s="293">
        <v>3015</v>
      </c>
      <c r="I6" s="19">
        <v>3015</v>
      </c>
      <c r="J6" s="20">
        <f t="shared" si="2"/>
        <v>0</v>
      </c>
      <c r="K6" s="21">
        <f t="shared" si="3"/>
        <v>100</v>
      </c>
    </row>
    <row r="7" spans="1:12" x14ac:dyDescent="0.2">
      <c r="A7" s="16">
        <v>8200</v>
      </c>
      <c r="B7" s="151"/>
      <c r="C7" s="151"/>
      <c r="D7" s="117" t="str">
        <f t="shared" si="0"/>
        <v>41</v>
      </c>
      <c r="E7" s="17">
        <v>4121</v>
      </c>
      <c r="F7" s="18" t="s">
        <v>174</v>
      </c>
      <c r="G7" s="293">
        <v>50</v>
      </c>
      <c r="H7" s="293">
        <v>50</v>
      </c>
      <c r="I7" s="19">
        <v>18</v>
      </c>
      <c r="J7" s="20">
        <f t="shared" si="2"/>
        <v>36</v>
      </c>
      <c r="K7" s="21">
        <f t="shared" si="3"/>
        <v>36</v>
      </c>
    </row>
    <row r="8" spans="1:12" x14ac:dyDescent="0.2">
      <c r="A8" s="16">
        <v>1700</v>
      </c>
      <c r="B8" s="151"/>
      <c r="C8" s="151"/>
      <c r="D8" s="117" t="str">
        <f t="shared" si="0"/>
        <v>41</v>
      </c>
      <c r="E8" s="17">
        <v>4122</v>
      </c>
      <c r="F8" s="18" t="s">
        <v>175</v>
      </c>
      <c r="G8" s="293"/>
      <c r="H8" s="293">
        <v>136174</v>
      </c>
      <c r="I8" s="19">
        <v>136174</v>
      </c>
      <c r="J8" s="20">
        <f t="shared" si="2"/>
        <v>0</v>
      </c>
      <c r="K8" s="21">
        <f t="shared" si="3"/>
        <v>100</v>
      </c>
    </row>
    <row r="9" spans="1:12" x14ac:dyDescent="0.2">
      <c r="A9" s="16">
        <v>6700</v>
      </c>
      <c r="B9" s="151"/>
      <c r="C9" s="151"/>
      <c r="D9" s="117" t="str">
        <f t="shared" si="0"/>
        <v>41</v>
      </c>
      <c r="E9" s="17">
        <v>4122</v>
      </c>
      <c r="F9" s="18" t="s">
        <v>175</v>
      </c>
      <c r="G9" s="293"/>
      <c r="H9" s="293">
        <v>3627</v>
      </c>
      <c r="I9" s="19">
        <v>3627</v>
      </c>
      <c r="J9" s="20">
        <f t="shared" si="2"/>
        <v>0</v>
      </c>
      <c r="K9" s="21">
        <f t="shared" si="3"/>
        <v>100</v>
      </c>
    </row>
    <row r="10" spans="1:12" x14ac:dyDescent="0.2">
      <c r="A10" s="16">
        <v>1700</v>
      </c>
      <c r="B10" s="151"/>
      <c r="C10" s="151"/>
      <c r="D10" s="117" t="str">
        <f t="shared" si="0"/>
        <v>41</v>
      </c>
      <c r="E10" s="17">
        <v>4123</v>
      </c>
      <c r="F10" s="18" t="s">
        <v>266</v>
      </c>
      <c r="G10" s="293"/>
      <c r="H10" s="293">
        <v>7569</v>
      </c>
      <c r="I10" s="19">
        <v>7569</v>
      </c>
      <c r="J10" s="20">
        <f t="shared" si="2"/>
        <v>0</v>
      </c>
      <c r="K10" s="21">
        <f t="shared" si="3"/>
        <v>100</v>
      </c>
    </row>
    <row r="11" spans="1:12" x14ac:dyDescent="0.2">
      <c r="A11" s="16">
        <v>1700</v>
      </c>
      <c r="B11" s="152">
        <v>6330</v>
      </c>
      <c r="C11" s="153" t="s">
        <v>251</v>
      </c>
      <c r="D11" s="117" t="str">
        <f t="shared" ref="D11:D17" si="5">(MID(E11,1,2))</f>
        <v>41</v>
      </c>
      <c r="E11" s="17">
        <v>4131</v>
      </c>
      <c r="F11" s="18" t="s">
        <v>155</v>
      </c>
      <c r="G11" s="293">
        <v>675011</v>
      </c>
      <c r="H11" s="293">
        <v>705011</v>
      </c>
      <c r="I11" s="19">
        <v>577011</v>
      </c>
      <c r="J11" s="20">
        <f t="shared" si="2"/>
        <v>85.48171807570543</v>
      </c>
      <c r="K11" s="21">
        <f t="shared" si="3"/>
        <v>81.844254912334705</v>
      </c>
    </row>
    <row r="12" spans="1:12" x14ac:dyDescent="0.2">
      <c r="A12" s="39">
        <v>3200</v>
      </c>
      <c r="B12" s="152">
        <v>6330</v>
      </c>
      <c r="C12" s="153" t="s">
        <v>251</v>
      </c>
      <c r="D12" s="42">
        <v>41</v>
      </c>
      <c r="E12" s="17">
        <v>4131</v>
      </c>
      <c r="F12" s="18" t="s">
        <v>155</v>
      </c>
      <c r="G12" s="300">
        <v>1200</v>
      </c>
      <c r="H12" s="300">
        <v>1200</v>
      </c>
      <c r="I12" s="118">
        <v>1200</v>
      </c>
      <c r="J12" s="20">
        <f t="shared" si="2"/>
        <v>100</v>
      </c>
      <c r="K12" s="21">
        <f t="shared" si="3"/>
        <v>100</v>
      </c>
    </row>
    <row r="13" spans="1:12" x14ac:dyDescent="0.2">
      <c r="A13" s="39">
        <v>3200</v>
      </c>
      <c r="B13" s="152">
        <v>6330</v>
      </c>
      <c r="C13" s="153" t="s">
        <v>251</v>
      </c>
      <c r="D13" s="117" t="str">
        <f t="shared" si="5"/>
        <v>41</v>
      </c>
      <c r="E13" s="41">
        <v>4132</v>
      </c>
      <c r="F13" s="18" t="s">
        <v>163</v>
      </c>
      <c r="G13" s="300"/>
      <c r="H13" s="300"/>
      <c r="I13" s="118">
        <v>4491</v>
      </c>
      <c r="J13" s="20">
        <f t="shared" si="2"/>
        <v>0</v>
      </c>
      <c r="K13" s="21">
        <f t="shared" si="3"/>
        <v>0</v>
      </c>
      <c r="L13" s="331"/>
    </row>
    <row r="14" spans="1:12" x14ac:dyDescent="0.2">
      <c r="A14" s="39">
        <v>8200</v>
      </c>
      <c r="B14" s="152">
        <v>6330</v>
      </c>
      <c r="C14" s="153" t="s">
        <v>251</v>
      </c>
      <c r="D14" s="117" t="str">
        <f t="shared" si="5"/>
        <v>41</v>
      </c>
      <c r="E14" s="41">
        <v>4132</v>
      </c>
      <c r="F14" s="18" t="s">
        <v>163</v>
      </c>
      <c r="G14" s="300"/>
      <c r="H14" s="300"/>
      <c r="I14" s="118">
        <v>2139</v>
      </c>
      <c r="J14" s="20">
        <f t="shared" si="2"/>
        <v>0</v>
      </c>
      <c r="K14" s="21">
        <f t="shared" si="3"/>
        <v>0</v>
      </c>
      <c r="L14" s="331"/>
    </row>
    <row r="15" spans="1:12" x14ac:dyDescent="0.2">
      <c r="A15" s="39">
        <v>1700</v>
      </c>
      <c r="B15" s="152">
        <v>6330</v>
      </c>
      <c r="C15" s="153" t="s">
        <v>251</v>
      </c>
      <c r="D15" s="117" t="str">
        <f>(MID(E15,1,2))</f>
        <v>41</v>
      </c>
      <c r="E15" s="41">
        <v>4137</v>
      </c>
      <c r="F15" s="18" t="s">
        <v>252</v>
      </c>
      <c r="G15" s="300"/>
      <c r="H15" s="300">
        <v>18580</v>
      </c>
      <c r="I15" s="118">
        <v>18580</v>
      </c>
      <c r="J15" s="20">
        <f t="shared" si="2"/>
        <v>0</v>
      </c>
      <c r="K15" s="21">
        <f t="shared" si="3"/>
        <v>100</v>
      </c>
    </row>
    <row r="16" spans="1:12" x14ac:dyDescent="0.2">
      <c r="A16" s="39">
        <v>5900</v>
      </c>
      <c r="B16" s="152">
        <v>6330</v>
      </c>
      <c r="C16" s="153" t="s">
        <v>251</v>
      </c>
      <c r="D16" s="117" t="str">
        <f>(MID(E16,1,2))</f>
        <v>41</v>
      </c>
      <c r="E16" s="41">
        <v>4137</v>
      </c>
      <c r="F16" s="18" t="s">
        <v>252</v>
      </c>
      <c r="G16" s="300"/>
      <c r="H16" s="300">
        <v>10233</v>
      </c>
      <c r="I16" s="118">
        <v>10232</v>
      </c>
      <c r="J16" s="20">
        <f t="shared" si="2"/>
        <v>0</v>
      </c>
      <c r="K16" s="21">
        <f t="shared" si="3"/>
        <v>99.990227694713184</v>
      </c>
    </row>
    <row r="17" spans="1:11" x14ac:dyDescent="0.2">
      <c r="A17" s="16">
        <v>6200</v>
      </c>
      <c r="B17" s="152">
        <v>6330</v>
      </c>
      <c r="C17" s="153" t="s">
        <v>251</v>
      </c>
      <c r="D17" s="117" t="str">
        <f t="shared" si="5"/>
        <v>41</v>
      </c>
      <c r="E17" s="41">
        <v>4137</v>
      </c>
      <c r="F17" s="18" t="s">
        <v>252</v>
      </c>
      <c r="G17" s="300">
        <v>10618</v>
      </c>
      <c r="H17" s="300">
        <v>15017</v>
      </c>
      <c r="I17" s="118">
        <v>15016</v>
      </c>
      <c r="J17" s="20">
        <f t="shared" si="2"/>
        <v>141.42022979845547</v>
      </c>
      <c r="K17" s="21">
        <f t="shared" si="3"/>
        <v>99.993340880335623</v>
      </c>
    </row>
    <row r="18" spans="1:11" x14ac:dyDescent="0.2">
      <c r="A18" s="39">
        <v>1700</v>
      </c>
      <c r="B18" s="151"/>
      <c r="C18" s="151"/>
      <c r="D18" s="117" t="str">
        <f>(MID(E18,1,2))</f>
        <v>41</v>
      </c>
      <c r="E18" s="41">
        <v>4152</v>
      </c>
      <c r="F18" s="18" t="s">
        <v>250</v>
      </c>
      <c r="G18" s="300"/>
      <c r="H18" s="300">
        <v>2099</v>
      </c>
      <c r="I18" s="118">
        <v>2098</v>
      </c>
      <c r="J18" s="20">
        <f t="shared" si="2"/>
        <v>0</v>
      </c>
      <c r="K18" s="21">
        <f t="shared" si="3"/>
        <v>99.952358265840886</v>
      </c>
    </row>
    <row r="19" spans="1:11" ht="13.5" thickBot="1" x14ac:dyDescent="0.25">
      <c r="A19" s="70"/>
      <c r="B19" s="154"/>
      <c r="C19" s="154"/>
      <c r="D19" s="73" t="s">
        <v>169</v>
      </c>
      <c r="E19" s="71"/>
      <c r="F19" s="155"/>
      <c r="G19" s="303">
        <f>SUBTOTAL(9,G2:G18)</f>
        <v>850004</v>
      </c>
      <c r="H19" s="303">
        <f>SUBTOTAL(9,H2:H18)</f>
        <v>1150837</v>
      </c>
      <c r="I19" s="156">
        <f>SUBTOTAL(9,I2:I18)</f>
        <v>1029432</v>
      </c>
      <c r="J19" s="157">
        <f>IF(G19&lt;=0,0,$I19/G19*100)</f>
        <v>121.10907713375467</v>
      </c>
      <c r="K19" s="158">
        <f t="shared" ref="K19:K25" si="6">IF(H19&lt;=0,0,$I19/H19*100)</f>
        <v>89.450721518338398</v>
      </c>
    </row>
    <row r="20" spans="1:11" x14ac:dyDescent="0.2">
      <c r="A20" s="159"/>
      <c r="B20" s="160"/>
      <c r="C20" s="160"/>
      <c r="D20" s="161"/>
      <c r="E20" s="162"/>
      <c r="F20" s="163"/>
      <c r="G20" s="304"/>
      <c r="H20" s="305"/>
      <c r="J20" s="164">
        <f>IF(G20&lt;=0,0,$I20/G20*100)</f>
        <v>0</v>
      </c>
      <c r="K20" s="45">
        <f t="shared" si="6"/>
        <v>0</v>
      </c>
    </row>
    <row r="21" spans="1:11" x14ac:dyDescent="0.2">
      <c r="A21" s="93">
        <v>1700</v>
      </c>
      <c r="B21" s="165"/>
      <c r="C21" s="165"/>
      <c r="D21" s="68" t="str">
        <f>(MID(E21,1,2))</f>
        <v>42</v>
      </c>
      <c r="E21" s="166">
        <v>4213</v>
      </c>
      <c r="F21" s="18" t="s">
        <v>225</v>
      </c>
      <c r="G21" s="306"/>
      <c r="H21" s="299">
        <v>1589</v>
      </c>
      <c r="I21" s="167">
        <v>1589</v>
      </c>
      <c r="J21" s="168"/>
      <c r="K21" s="21">
        <f t="shared" si="6"/>
        <v>100</v>
      </c>
    </row>
    <row r="22" spans="1:11" x14ac:dyDescent="0.2">
      <c r="A22" s="93">
        <v>1700</v>
      </c>
      <c r="B22" s="165"/>
      <c r="C22" s="165"/>
      <c r="D22" s="68" t="str">
        <f>(MID(E22,1,2))</f>
        <v>42</v>
      </c>
      <c r="E22" s="166">
        <v>4216</v>
      </c>
      <c r="F22" s="18" t="s">
        <v>281</v>
      </c>
      <c r="G22" s="306"/>
      <c r="H22" s="299">
        <v>68085</v>
      </c>
      <c r="I22" s="167">
        <v>68085</v>
      </c>
      <c r="J22" s="168"/>
      <c r="K22" s="21">
        <f t="shared" si="6"/>
        <v>100</v>
      </c>
    </row>
    <row r="23" spans="1:11" x14ac:dyDescent="0.2">
      <c r="A23" s="93">
        <v>1700</v>
      </c>
      <c r="B23" s="165"/>
      <c r="C23" s="165"/>
      <c r="D23" s="68" t="str">
        <f>(MID(E23,1,2))</f>
        <v>42</v>
      </c>
      <c r="E23" s="166">
        <v>4223</v>
      </c>
      <c r="F23" s="18" t="s">
        <v>216</v>
      </c>
      <c r="G23" s="306"/>
      <c r="H23" s="299">
        <v>300765</v>
      </c>
      <c r="I23" s="167">
        <v>300765</v>
      </c>
      <c r="J23" s="168"/>
      <c r="K23" s="21">
        <f t="shared" si="6"/>
        <v>100</v>
      </c>
    </row>
    <row r="24" spans="1:11" ht="13.5" thickBot="1" x14ac:dyDescent="0.25">
      <c r="A24" s="169"/>
      <c r="B24" s="170"/>
      <c r="C24" s="170"/>
      <c r="D24" s="171" t="s">
        <v>170</v>
      </c>
      <c r="E24" s="172"/>
      <c r="F24" s="173"/>
      <c r="G24" s="75">
        <f>SUBTOTAL(9,G21:G22)</f>
        <v>0</v>
      </c>
      <c r="H24" s="75">
        <f>SUBTOTAL(9,H21:H23)</f>
        <v>370439</v>
      </c>
      <c r="I24" s="75">
        <f>SUBTOTAL(9,I21:I23)</f>
        <v>370439</v>
      </c>
      <c r="J24" s="157">
        <f>IF(G24&lt;=0,0,$I24/G24*100)</f>
        <v>0</v>
      </c>
      <c r="K24" s="158">
        <f t="shared" si="6"/>
        <v>100</v>
      </c>
    </row>
    <row r="25" spans="1:11" ht="15.75" thickBot="1" x14ac:dyDescent="0.3">
      <c r="A25" s="70"/>
      <c r="B25" s="154"/>
      <c r="C25" s="154"/>
      <c r="D25" s="174" t="s">
        <v>171</v>
      </c>
      <c r="E25" s="71"/>
      <c r="F25" s="155"/>
      <c r="G25" s="303">
        <f>SUBTOTAL(9,G2:G24)</f>
        <v>850004</v>
      </c>
      <c r="H25" s="303">
        <f>SUBTOTAL(9,H2:H24)</f>
        <v>1521276</v>
      </c>
      <c r="I25" s="156">
        <f>SUBTOTAL(9,I2:I24)</f>
        <v>1399871</v>
      </c>
      <c r="J25" s="157">
        <f>IF(G25&lt;=0,0,$I25/G25*100)</f>
        <v>164.68993087091354</v>
      </c>
      <c r="K25" s="158">
        <f t="shared" si="6"/>
        <v>92.019528343311791</v>
      </c>
    </row>
  </sheetData>
  <phoneticPr fontId="0" type="noConversion"/>
  <printOptions horizontalCentered="1"/>
  <pageMargins left="0.47244094488188981" right="0.39370078740157483" top="1.1417322834645669" bottom="0.55118110236220474" header="0.62992125984251968" footer="0.51181102362204722"/>
  <pageSetup paperSize="9" scale="90" orientation="landscape" r:id="rId1"/>
  <headerFooter alignWithMargins="0">
    <oddHeader>&amp;C&amp;"Calibri Light,Obyčejné"&amp;14Transfery přijaté městem k 31.12.2016 (v tis. Kč)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7"/>
  <sheetViews>
    <sheetView showZeros="0" zoomScale="115" zoomScaleNormal="115" zoomScaleSheetLayoutView="75" workbookViewId="0"/>
  </sheetViews>
  <sheetFormatPr defaultRowHeight="12.75" x14ac:dyDescent="0.2"/>
  <cols>
    <col min="1" max="2" width="7.7109375" style="177" customWidth="1"/>
    <col min="3" max="3" width="39.28515625" style="177" customWidth="1"/>
    <col min="4" max="4" width="13.42578125" style="177" customWidth="1"/>
    <col min="5" max="5" width="14.42578125" style="177" customWidth="1"/>
    <col min="6" max="6" width="13.85546875" style="177" customWidth="1"/>
    <col min="7" max="7" width="8.85546875" style="177" customWidth="1"/>
    <col min="8" max="8" width="8.85546875" style="27" customWidth="1"/>
    <col min="9" max="9" width="14.28515625" style="27" customWidth="1"/>
    <col min="10" max="16384" width="9.140625" style="177"/>
  </cols>
  <sheetData>
    <row r="1" spans="1:9" ht="13.5" thickBot="1" x14ac:dyDescent="0.25">
      <c r="A1" s="288" t="s">
        <v>215</v>
      </c>
      <c r="B1" s="289" t="s">
        <v>0</v>
      </c>
      <c r="C1" s="289" t="s">
        <v>3</v>
      </c>
      <c r="D1" s="4" t="s">
        <v>275</v>
      </c>
      <c r="E1" s="4" t="s">
        <v>294</v>
      </c>
      <c r="F1" s="175" t="s">
        <v>296</v>
      </c>
      <c r="G1" s="176" t="s">
        <v>47</v>
      </c>
      <c r="H1" s="6" t="s">
        <v>48</v>
      </c>
      <c r="I1" s="329" t="s">
        <v>301</v>
      </c>
    </row>
    <row r="2" spans="1:9" x14ac:dyDescent="0.2">
      <c r="A2" s="178" t="s">
        <v>258</v>
      </c>
      <c r="B2" s="179"/>
      <c r="C2" s="87"/>
      <c r="D2" s="180"/>
      <c r="E2" s="180"/>
      <c r="F2" s="180"/>
      <c r="G2" s="181">
        <f>IF(D2&lt;=0,0,$F2/D2*100)</f>
        <v>0</v>
      </c>
      <c r="H2" s="182">
        <f>IF(E2&lt;=0,0,$F2/E2*100)</f>
        <v>0</v>
      </c>
      <c r="I2" s="177"/>
    </row>
    <row r="3" spans="1:9" x14ac:dyDescent="0.2">
      <c r="A3" s="183">
        <v>1600</v>
      </c>
      <c r="B3" s="184">
        <v>2143</v>
      </c>
      <c r="C3" s="69" t="s">
        <v>177</v>
      </c>
      <c r="D3" s="307">
        <v>53572</v>
      </c>
      <c r="E3" s="307">
        <v>55545</v>
      </c>
      <c r="F3" s="185">
        <v>54910</v>
      </c>
      <c r="G3" s="186">
        <f t="shared" ref="G3:H7" si="0">IF(D3&lt;=0,0,$F3/D3*100)</f>
        <v>102.4975733592175</v>
      </c>
      <c r="H3" s="187">
        <f t="shared" si="0"/>
        <v>98.856782788729859</v>
      </c>
      <c r="I3" s="177"/>
    </row>
    <row r="4" spans="1:9" x14ac:dyDescent="0.2">
      <c r="A4" s="183">
        <v>1600</v>
      </c>
      <c r="B4" s="184">
        <v>2253</v>
      </c>
      <c r="C4" s="69" t="s">
        <v>278</v>
      </c>
      <c r="D4" s="307">
        <v>15000</v>
      </c>
      <c r="E4" s="307">
        <v>15000</v>
      </c>
      <c r="F4" s="185"/>
      <c r="G4" s="186">
        <f t="shared" ref="G4:G6" si="1">IF(D4&lt;=0,0,$F4/D4*100)</f>
        <v>0</v>
      </c>
      <c r="H4" s="187">
        <f t="shared" ref="H4:H6" si="2">IF(E4&lt;=0,0,$F4/E4*100)</f>
        <v>0</v>
      </c>
      <c r="I4" s="331"/>
    </row>
    <row r="5" spans="1:9" x14ac:dyDescent="0.2">
      <c r="A5" s="183">
        <v>1600</v>
      </c>
      <c r="B5" s="184">
        <v>3349</v>
      </c>
      <c r="C5" s="104" t="s">
        <v>54</v>
      </c>
      <c r="D5" s="307">
        <v>16827</v>
      </c>
      <c r="E5" s="307">
        <v>19497</v>
      </c>
      <c r="F5" s="185">
        <v>15019</v>
      </c>
      <c r="G5" s="186">
        <f t="shared" si="1"/>
        <v>89.255363404053014</v>
      </c>
      <c r="H5" s="187">
        <f t="shared" si="2"/>
        <v>77.032363953428728</v>
      </c>
      <c r="I5" s="177"/>
    </row>
    <row r="6" spans="1:9" x14ac:dyDescent="0.2">
      <c r="A6" s="183">
        <v>1600</v>
      </c>
      <c r="B6" s="184">
        <v>3636</v>
      </c>
      <c r="C6" s="69" t="s">
        <v>158</v>
      </c>
      <c r="D6" s="307">
        <v>9523</v>
      </c>
      <c r="E6" s="307">
        <v>14995</v>
      </c>
      <c r="F6" s="185">
        <v>6294</v>
      </c>
      <c r="G6" s="186">
        <f t="shared" si="1"/>
        <v>66.09261787251917</v>
      </c>
      <c r="H6" s="187">
        <f t="shared" si="2"/>
        <v>41.973991330443482</v>
      </c>
      <c r="I6" s="331"/>
    </row>
    <row r="7" spans="1:9" x14ac:dyDescent="0.2">
      <c r="A7" s="183">
        <v>1600</v>
      </c>
      <c r="B7" s="184">
        <v>3809</v>
      </c>
      <c r="C7" s="69" t="s">
        <v>221</v>
      </c>
      <c r="D7" s="307">
        <v>49950</v>
      </c>
      <c r="E7" s="307">
        <v>49950</v>
      </c>
      <c r="F7" s="185">
        <v>43260</v>
      </c>
      <c r="G7" s="186">
        <f t="shared" si="0"/>
        <v>86.606606606606604</v>
      </c>
      <c r="H7" s="187">
        <f t="shared" si="0"/>
        <v>86.606606606606604</v>
      </c>
      <c r="I7" s="177"/>
    </row>
    <row r="8" spans="1:9" x14ac:dyDescent="0.2">
      <c r="A8" s="188" t="s">
        <v>259</v>
      </c>
      <c r="B8" s="184"/>
      <c r="C8" s="69"/>
      <c r="D8" s="309">
        <f>SUBTOTAL(9,D3:D7)</f>
        <v>144872</v>
      </c>
      <c r="E8" s="309">
        <f>SUBTOTAL(9,E3:E7)</f>
        <v>154987</v>
      </c>
      <c r="F8" s="180">
        <f>SUBTOTAL(9,F3:F7)</f>
        <v>119483</v>
      </c>
      <c r="G8" s="181">
        <f>IF(D8&lt;=0,0,$F8/D8*100)</f>
        <v>82.4748743718593</v>
      </c>
      <c r="H8" s="182">
        <f>IF(E8&lt;=0,0,$F8/E8*100)</f>
        <v>77.092272255092368</v>
      </c>
      <c r="I8" s="177"/>
    </row>
    <row r="9" spans="1:9" x14ac:dyDescent="0.2">
      <c r="A9" s="189"/>
      <c r="B9" s="190"/>
      <c r="C9" s="190"/>
      <c r="D9" s="310"/>
      <c r="E9" s="311"/>
      <c r="F9" s="191"/>
      <c r="G9" s="192"/>
      <c r="H9" s="193"/>
      <c r="I9" s="177"/>
    </row>
    <row r="10" spans="1:9" x14ac:dyDescent="0.2">
      <c r="A10" s="188" t="s">
        <v>41</v>
      </c>
      <c r="B10" s="184"/>
      <c r="C10" s="69"/>
      <c r="D10" s="309"/>
      <c r="E10" s="312"/>
      <c r="F10" s="180"/>
      <c r="G10" s="194">
        <f t="shared" ref="G10:G41" si="3">IF(D10&lt;=0,0,$F10/D10*100)</f>
        <v>0</v>
      </c>
      <c r="H10" s="182">
        <f t="shared" ref="H10:H41" si="4">IF(E10&lt;=0,0,$F10/E10*100)</f>
        <v>0</v>
      </c>
      <c r="I10" s="177"/>
    </row>
    <row r="11" spans="1:9" x14ac:dyDescent="0.2">
      <c r="A11" s="183">
        <v>1700</v>
      </c>
      <c r="B11" s="184">
        <v>3511</v>
      </c>
      <c r="C11" s="69" t="s">
        <v>12</v>
      </c>
      <c r="D11" s="307">
        <v>301</v>
      </c>
      <c r="E11" s="307">
        <v>301</v>
      </c>
      <c r="F11" s="185">
        <v>80</v>
      </c>
      <c r="G11" s="186">
        <f t="shared" si="3"/>
        <v>26.578073089701</v>
      </c>
      <c r="H11" s="187">
        <f t="shared" si="4"/>
        <v>26.578073089701</v>
      </c>
      <c r="I11" s="177"/>
    </row>
    <row r="12" spans="1:9" x14ac:dyDescent="0.2">
      <c r="A12" s="183">
        <v>1700</v>
      </c>
      <c r="B12" s="195">
        <v>6171</v>
      </c>
      <c r="C12" s="108" t="s">
        <v>9</v>
      </c>
      <c r="D12" s="313">
        <v>8105</v>
      </c>
      <c r="E12" s="313">
        <v>8315</v>
      </c>
      <c r="F12" s="196">
        <v>6598</v>
      </c>
      <c r="G12" s="186">
        <f t="shared" ref="G12:G16" si="5">IF(D12&lt;=0,0,$F12/D12*100)</f>
        <v>81.406539173349785</v>
      </c>
      <c r="H12" s="187">
        <f t="shared" ref="H12:H16" si="6">IF(E12&lt;=0,0,$F12/E12*100)</f>
        <v>79.35057125676488</v>
      </c>
      <c r="I12" s="177"/>
    </row>
    <row r="13" spans="1:9" x14ac:dyDescent="0.2">
      <c r="A13" s="183">
        <v>1700</v>
      </c>
      <c r="B13" s="184">
        <v>6310</v>
      </c>
      <c r="C13" s="64" t="s">
        <v>226</v>
      </c>
      <c r="D13" s="313">
        <v>145300</v>
      </c>
      <c r="E13" s="313">
        <v>145300</v>
      </c>
      <c r="F13" s="196">
        <v>59590</v>
      </c>
      <c r="G13" s="186">
        <f t="shared" si="5"/>
        <v>41.011699931176878</v>
      </c>
      <c r="H13" s="187">
        <f t="shared" si="6"/>
        <v>41.011699931176878</v>
      </c>
      <c r="I13" s="331"/>
    </row>
    <row r="14" spans="1:9" x14ac:dyDescent="0.2">
      <c r="A14" s="183">
        <v>1700</v>
      </c>
      <c r="B14" s="184">
        <v>6330</v>
      </c>
      <c r="C14" s="64" t="s">
        <v>260</v>
      </c>
      <c r="D14" s="313">
        <v>1137436</v>
      </c>
      <c r="E14" s="313">
        <v>1198581</v>
      </c>
      <c r="F14" s="196">
        <v>1198581</v>
      </c>
      <c r="G14" s="186">
        <f t="shared" si="5"/>
        <v>105.37568707162426</v>
      </c>
      <c r="H14" s="187">
        <f t="shared" si="6"/>
        <v>100</v>
      </c>
      <c r="I14" s="177"/>
    </row>
    <row r="15" spans="1:9" x14ac:dyDescent="0.2">
      <c r="A15" s="183">
        <v>1700</v>
      </c>
      <c r="B15" s="184">
        <v>6399</v>
      </c>
      <c r="C15" s="108" t="s">
        <v>59</v>
      </c>
      <c r="D15" s="313">
        <v>350000</v>
      </c>
      <c r="E15" s="313">
        <v>130533</v>
      </c>
      <c r="F15" s="196">
        <v>130534</v>
      </c>
      <c r="G15" s="186">
        <f t="shared" si="5"/>
        <v>37.295428571428573</v>
      </c>
      <c r="H15" s="187">
        <f t="shared" si="6"/>
        <v>100.00076608980105</v>
      </c>
    </row>
    <row r="16" spans="1:9" x14ac:dyDescent="0.2">
      <c r="A16" s="183">
        <v>1700</v>
      </c>
      <c r="B16" s="184">
        <v>6402</v>
      </c>
      <c r="C16" s="108" t="s">
        <v>92</v>
      </c>
      <c r="D16" s="313"/>
      <c r="E16" s="313">
        <v>2078</v>
      </c>
      <c r="F16" s="196">
        <v>2078</v>
      </c>
      <c r="G16" s="186">
        <f t="shared" si="5"/>
        <v>0</v>
      </c>
      <c r="H16" s="187">
        <f t="shared" si="6"/>
        <v>100</v>
      </c>
    </row>
    <row r="17" spans="1:9" x14ac:dyDescent="0.2">
      <c r="A17" s="183">
        <v>1700</v>
      </c>
      <c r="B17" s="184">
        <v>6409</v>
      </c>
      <c r="C17" s="108" t="s">
        <v>36</v>
      </c>
      <c r="D17" s="313">
        <v>20950</v>
      </c>
      <c r="E17" s="313">
        <v>8255</v>
      </c>
      <c r="F17" s="196">
        <v>-300</v>
      </c>
      <c r="G17" s="186"/>
      <c r="H17" s="187"/>
      <c r="I17" s="331"/>
    </row>
    <row r="18" spans="1:9" x14ac:dyDescent="0.2">
      <c r="A18" s="188" t="s">
        <v>181</v>
      </c>
      <c r="B18" s="184"/>
      <c r="C18" s="108"/>
      <c r="D18" s="309">
        <f>SUBTOTAL(9,D11:D17)</f>
        <v>1662092</v>
      </c>
      <c r="E18" s="309">
        <f>SUBTOTAL(9,E11:E17)</f>
        <v>1493363</v>
      </c>
      <c r="F18" s="180">
        <f>SUBTOTAL(9,F11:F17)</f>
        <v>1397161</v>
      </c>
      <c r="G18" s="181">
        <f t="shared" si="3"/>
        <v>84.060388955605347</v>
      </c>
      <c r="H18" s="182">
        <f t="shared" si="4"/>
        <v>93.558029762355162</v>
      </c>
      <c r="I18" s="177"/>
    </row>
    <row r="19" spans="1:9" x14ac:dyDescent="0.2">
      <c r="A19" s="188"/>
      <c r="B19" s="184"/>
      <c r="C19" s="108"/>
      <c r="D19" s="309"/>
      <c r="E19" s="309"/>
      <c r="F19" s="180"/>
      <c r="G19" s="181">
        <f t="shared" si="3"/>
        <v>0</v>
      </c>
      <c r="H19" s="182">
        <f t="shared" si="4"/>
        <v>0</v>
      </c>
      <c r="I19" s="177"/>
    </row>
    <row r="20" spans="1:9" x14ac:dyDescent="0.2">
      <c r="A20" s="333" t="s">
        <v>34</v>
      </c>
      <c r="B20" s="334"/>
      <c r="C20" s="335"/>
      <c r="D20" s="314"/>
      <c r="E20" s="314"/>
      <c r="F20" s="197"/>
      <c r="G20" s="198">
        <f t="shared" si="3"/>
        <v>0</v>
      </c>
      <c r="H20" s="199">
        <f t="shared" si="4"/>
        <v>0</v>
      </c>
      <c r="I20" s="177"/>
    </row>
    <row r="21" spans="1:9" x14ac:dyDescent="0.2">
      <c r="A21" s="183">
        <v>3200</v>
      </c>
      <c r="B21" s="200">
        <v>2219</v>
      </c>
      <c r="C21" s="69" t="s">
        <v>50</v>
      </c>
      <c r="D21" s="307">
        <v>1738</v>
      </c>
      <c r="E21" s="307">
        <v>2413</v>
      </c>
      <c r="F21" s="185">
        <v>1680</v>
      </c>
      <c r="G21" s="186">
        <f t="shared" si="3"/>
        <v>96.662830840046027</v>
      </c>
      <c r="H21" s="187">
        <f t="shared" si="4"/>
        <v>69.622876087857449</v>
      </c>
      <c r="I21" s="331"/>
    </row>
    <row r="22" spans="1:9" x14ac:dyDescent="0.2">
      <c r="A22" s="183">
        <v>3200</v>
      </c>
      <c r="B22" s="200">
        <v>3119</v>
      </c>
      <c r="C22" s="69" t="s">
        <v>283</v>
      </c>
      <c r="D22" s="307"/>
      <c r="E22" s="307">
        <v>2436</v>
      </c>
      <c r="F22" s="185">
        <v>1200</v>
      </c>
      <c r="G22" s="186">
        <f t="shared" ref="G22:G37" si="7">IF(D22&lt;=0,0,$F22/D22*100)</f>
        <v>0</v>
      </c>
      <c r="H22" s="187">
        <f t="shared" ref="H22:H37" si="8">IF(E22&lt;=0,0,$F22/E22*100)</f>
        <v>49.261083743842363</v>
      </c>
      <c r="I22" s="331"/>
    </row>
    <row r="23" spans="1:9" x14ac:dyDescent="0.2">
      <c r="A23" s="183">
        <v>3200</v>
      </c>
      <c r="B23" s="200">
        <v>3319</v>
      </c>
      <c r="C23" s="69" t="s">
        <v>45</v>
      </c>
      <c r="D23" s="307">
        <v>250</v>
      </c>
      <c r="E23" s="307">
        <v>250</v>
      </c>
      <c r="F23" s="185">
        <v>152</v>
      </c>
      <c r="G23" s="186">
        <f t="shared" si="7"/>
        <v>60.8</v>
      </c>
      <c r="H23" s="187">
        <f t="shared" si="8"/>
        <v>60.8</v>
      </c>
      <c r="I23" s="177"/>
    </row>
    <row r="24" spans="1:9" x14ac:dyDescent="0.2">
      <c r="A24" s="183">
        <v>3200</v>
      </c>
      <c r="B24" s="200">
        <v>3349</v>
      </c>
      <c r="C24" s="104" t="s">
        <v>54</v>
      </c>
      <c r="D24" s="307">
        <v>2150</v>
      </c>
      <c r="E24" s="307">
        <v>2150</v>
      </c>
      <c r="F24" s="185">
        <v>1134</v>
      </c>
      <c r="G24" s="186">
        <f t="shared" si="7"/>
        <v>52.744186046511629</v>
      </c>
      <c r="H24" s="187">
        <f t="shared" si="8"/>
        <v>52.744186046511629</v>
      </c>
      <c r="I24" s="331"/>
    </row>
    <row r="25" spans="1:9" x14ac:dyDescent="0.2">
      <c r="A25" s="183">
        <v>3200</v>
      </c>
      <c r="B25" s="200">
        <v>3429</v>
      </c>
      <c r="C25" s="104" t="s">
        <v>55</v>
      </c>
      <c r="D25" s="307">
        <v>95</v>
      </c>
      <c r="E25" s="307">
        <v>95</v>
      </c>
      <c r="F25" s="185">
        <v>75</v>
      </c>
      <c r="G25" s="186">
        <f t="shared" si="7"/>
        <v>78.94736842105263</v>
      </c>
      <c r="H25" s="187">
        <f t="shared" si="8"/>
        <v>78.94736842105263</v>
      </c>
      <c r="I25" s="177"/>
    </row>
    <row r="26" spans="1:9" x14ac:dyDescent="0.2">
      <c r="A26" s="183">
        <v>3200</v>
      </c>
      <c r="B26" s="200">
        <v>3612</v>
      </c>
      <c r="C26" s="201" t="s">
        <v>11</v>
      </c>
      <c r="D26" s="307">
        <v>135</v>
      </c>
      <c r="E26" s="307">
        <v>135</v>
      </c>
      <c r="F26" s="185">
        <v>135</v>
      </c>
      <c r="G26" s="186">
        <f t="shared" si="7"/>
        <v>100</v>
      </c>
      <c r="H26" s="187">
        <f t="shared" si="8"/>
        <v>100</v>
      </c>
      <c r="I26" s="177"/>
    </row>
    <row r="27" spans="1:9" x14ac:dyDescent="0.2">
      <c r="A27" s="183">
        <v>3200</v>
      </c>
      <c r="B27" s="200">
        <v>3635</v>
      </c>
      <c r="C27" s="201" t="s">
        <v>69</v>
      </c>
      <c r="D27" s="307">
        <v>670</v>
      </c>
      <c r="E27" s="307">
        <v>670</v>
      </c>
      <c r="F27" s="185">
        <v>481</v>
      </c>
      <c r="G27" s="186">
        <f t="shared" si="7"/>
        <v>71.791044776119406</v>
      </c>
      <c r="H27" s="187">
        <f t="shared" si="8"/>
        <v>71.791044776119406</v>
      </c>
      <c r="I27" s="177"/>
    </row>
    <row r="28" spans="1:9" x14ac:dyDescent="0.2">
      <c r="A28" s="183">
        <v>3200</v>
      </c>
      <c r="B28" s="200">
        <v>3636</v>
      </c>
      <c r="C28" s="201" t="s">
        <v>158</v>
      </c>
      <c r="D28" s="307"/>
      <c r="E28" s="307">
        <v>5088</v>
      </c>
      <c r="F28" s="185">
        <v>2232</v>
      </c>
      <c r="G28" s="186">
        <f t="shared" si="7"/>
        <v>0</v>
      </c>
      <c r="H28" s="187">
        <f t="shared" si="8"/>
        <v>43.867924528301891</v>
      </c>
      <c r="I28" s="331"/>
    </row>
    <row r="29" spans="1:9" x14ac:dyDescent="0.2">
      <c r="A29" s="183">
        <v>3200</v>
      </c>
      <c r="B29" s="200">
        <v>4341</v>
      </c>
      <c r="C29" s="87" t="s">
        <v>203</v>
      </c>
      <c r="D29" s="307"/>
      <c r="E29" s="307">
        <v>898</v>
      </c>
      <c r="F29" s="185">
        <v>576</v>
      </c>
      <c r="G29" s="186">
        <f t="shared" si="7"/>
        <v>0</v>
      </c>
      <c r="H29" s="187">
        <f t="shared" si="8"/>
        <v>64.142538975501111</v>
      </c>
      <c r="I29" s="177"/>
    </row>
    <row r="30" spans="1:9" x14ac:dyDescent="0.2">
      <c r="A30" s="183">
        <v>3200</v>
      </c>
      <c r="B30" s="200">
        <v>5319</v>
      </c>
      <c r="C30" s="115" t="s">
        <v>185</v>
      </c>
      <c r="D30" s="307"/>
      <c r="E30" s="307">
        <v>190</v>
      </c>
      <c r="F30" s="185">
        <v>190</v>
      </c>
      <c r="G30" s="186"/>
      <c r="H30" s="187">
        <f t="shared" si="8"/>
        <v>100</v>
      </c>
      <c r="I30" s="177"/>
    </row>
    <row r="31" spans="1:9" x14ac:dyDescent="0.2">
      <c r="A31" s="183">
        <v>3200</v>
      </c>
      <c r="B31" s="200">
        <v>5511</v>
      </c>
      <c r="C31" s="104" t="s">
        <v>211</v>
      </c>
      <c r="D31" s="307">
        <v>3000</v>
      </c>
      <c r="E31" s="307">
        <v>3300</v>
      </c>
      <c r="F31" s="185">
        <v>3300</v>
      </c>
      <c r="G31" s="186">
        <f t="shared" si="7"/>
        <v>110.00000000000001</v>
      </c>
      <c r="H31" s="187">
        <f t="shared" si="8"/>
        <v>100</v>
      </c>
    </row>
    <row r="32" spans="1:9" x14ac:dyDescent="0.2">
      <c r="A32" s="183">
        <v>3200</v>
      </c>
      <c r="B32" s="200">
        <v>6112</v>
      </c>
      <c r="C32" s="104" t="s">
        <v>56</v>
      </c>
      <c r="D32" s="307">
        <v>23263</v>
      </c>
      <c r="E32" s="307">
        <v>23263</v>
      </c>
      <c r="F32" s="185">
        <v>22689</v>
      </c>
      <c r="G32" s="186">
        <f t="shared" si="7"/>
        <v>97.532562438206597</v>
      </c>
      <c r="H32" s="187">
        <f t="shared" si="8"/>
        <v>97.532562438206597</v>
      </c>
      <c r="I32" s="177"/>
    </row>
    <row r="33" spans="1:9" x14ac:dyDescent="0.2">
      <c r="A33" s="183">
        <v>3200</v>
      </c>
      <c r="B33" s="200">
        <v>6115</v>
      </c>
      <c r="C33" s="104" t="s">
        <v>299</v>
      </c>
      <c r="D33" s="307"/>
      <c r="E33" s="307">
        <v>105</v>
      </c>
      <c r="F33" s="185">
        <v>96</v>
      </c>
      <c r="G33" s="186"/>
      <c r="H33" s="187">
        <f t="shared" si="8"/>
        <v>91.428571428571431</v>
      </c>
      <c r="I33" s="177"/>
    </row>
    <row r="34" spans="1:9" x14ac:dyDescent="0.2">
      <c r="A34" s="183">
        <v>3200</v>
      </c>
      <c r="B34" s="200">
        <v>6171</v>
      </c>
      <c r="C34" s="115" t="s">
        <v>24</v>
      </c>
      <c r="D34" s="307">
        <v>618103</v>
      </c>
      <c r="E34" s="307">
        <v>652213</v>
      </c>
      <c r="F34" s="185">
        <v>629892</v>
      </c>
      <c r="G34" s="186">
        <f t="shared" si="7"/>
        <v>101.90728729677741</v>
      </c>
      <c r="H34" s="187">
        <f t="shared" si="8"/>
        <v>96.577651779403354</v>
      </c>
      <c r="I34" s="177"/>
    </row>
    <row r="35" spans="1:9" x14ac:dyDescent="0.2">
      <c r="A35" s="183">
        <v>3200</v>
      </c>
      <c r="B35" s="200">
        <v>6173</v>
      </c>
      <c r="C35" s="115" t="s">
        <v>284</v>
      </c>
      <c r="D35" s="307"/>
      <c r="E35" s="307">
        <v>563</v>
      </c>
      <c r="F35" s="185">
        <v>244</v>
      </c>
      <c r="G35" s="186">
        <f t="shared" si="7"/>
        <v>0</v>
      </c>
      <c r="H35" s="187">
        <f t="shared" si="8"/>
        <v>43.339253996447603</v>
      </c>
      <c r="I35" s="177"/>
    </row>
    <row r="36" spans="1:9" x14ac:dyDescent="0.2">
      <c r="A36" s="183">
        <v>3200</v>
      </c>
      <c r="B36" s="184">
        <v>6223</v>
      </c>
      <c r="C36" s="69" t="s">
        <v>220</v>
      </c>
      <c r="D36" s="185">
        <v>9756</v>
      </c>
      <c r="E36" s="185">
        <v>10036</v>
      </c>
      <c r="F36" s="185">
        <v>8553</v>
      </c>
      <c r="G36" s="186">
        <f t="shared" si="7"/>
        <v>87.669126691266911</v>
      </c>
      <c r="H36" s="187">
        <f t="shared" si="8"/>
        <v>85.223196492626542</v>
      </c>
      <c r="I36" s="177"/>
    </row>
    <row r="37" spans="1:9" x14ac:dyDescent="0.2">
      <c r="A37" s="183">
        <v>3200</v>
      </c>
      <c r="B37" s="184">
        <v>6330</v>
      </c>
      <c r="C37" s="64" t="s">
        <v>260</v>
      </c>
      <c r="D37" s="185"/>
      <c r="E37" s="185">
        <v>4500</v>
      </c>
      <c r="F37" s="185">
        <v>9818</v>
      </c>
      <c r="G37" s="186">
        <f t="shared" si="7"/>
        <v>0</v>
      </c>
      <c r="H37" s="187">
        <f t="shared" si="8"/>
        <v>218.17777777777775</v>
      </c>
      <c r="I37" s="331"/>
    </row>
    <row r="38" spans="1:9" x14ac:dyDescent="0.2">
      <c r="A38" s="202" t="s">
        <v>32</v>
      </c>
      <c r="B38" s="184"/>
      <c r="C38" s="69"/>
      <c r="D38" s="180">
        <f>SUBTOTAL(9,D21:D37)</f>
        <v>659160</v>
      </c>
      <c r="E38" s="180">
        <f>SUBTOTAL(9,E21:E37)</f>
        <v>708305</v>
      </c>
      <c r="F38" s="180">
        <f>SUBTOTAL(9,F21:F37)</f>
        <v>682447</v>
      </c>
      <c r="G38" s="181">
        <f t="shared" si="3"/>
        <v>103.53282966199406</v>
      </c>
      <c r="H38" s="182">
        <f t="shared" si="4"/>
        <v>96.349312796041247</v>
      </c>
      <c r="I38" s="177"/>
    </row>
    <row r="39" spans="1:9" x14ac:dyDescent="0.2">
      <c r="A39" s="202"/>
      <c r="B39" s="200"/>
      <c r="C39" s="104"/>
      <c r="D39" s="309"/>
      <c r="E39" s="309"/>
      <c r="F39" s="180"/>
      <c r="G39" s="181">
        <f t="shared" si="3"/>
        <v>0</v>
      </c>
      <c r="H39" s="182">
        <f t="shared" si="4"/>
        <v>0</v>
      </c>
      <c r="I39" s="177"/>
    </row>
    <row r="40" spans="1:9" x14ac:dyDescent="0.2">
      <c r="A40" s="178" t="s">
        <v>57</v>
      </c>
      <c r="B40" s="179"/>
      <c r="C40" s="87"/>
      <c r="D40" s="309"/>
      <c r="E40" s="309"/>
      <c r="F40" s="180"/>
      <c r="G40" s="181">
        <f t="shared" si="3"/>
        <v>0</v>
      </c>
      <c r="H40" s="182">
        <f t="shared" si="4"/>
        <v>0</v>
      </c>
      <c r="I40" s="177"/>
    </row>
    <row r="41" spans="1:9" x14ac:dyDescent="0.2">
      <c r="A41" s="183">
        <v>3600</v>
      </c>
      <c r="B41" s="184">
        <v>5212</v>
      </c>
      <c r="C41" s="69" t="s">
        <v>213</v>
      </c>
      <c r="D41" s="307">
        <v>500</v>
      </c>
      <c r="E41" s="307">
        <v>500</v>
      </c>
      <c r="F41" s="185">
        <v>5</v>
      </c>
      <c r="G41" s="186">
        <f t="shared" si="3"/>
        <v>1</v>
      </c>
      <c r="H41" s="187">
        <f t="shared" si="4"/>
        <v>1</v>
      </c>
      <c r="I41" s="177"/>
    </row>
    <row r="42" spans="1:9" x14ac:dyDescent="0.2">
      <c r="A42" s="183">
        <v>3600</v>
      </c>
      <c r="B42" s="184">
        <v>5269</v>
      </c>
      <c r="C42" s="69" t="s">
        <v>227</v>
      </c>
      <c r="D42" s="307">
        <v>200</v>
      </c>
      <c r="E42" s="307">
        <v>200</v>
      </c>
      <c r="F42" s="307"/>
      <c r="G42" s="186">
        <f t="shared" ref="G42:G44" si="9">IF(D42&lt;=0,0,$F42/D42*100)</f>
        <v>0</v>
      </c>
      <c r="H42" s="187">
        <f t="shared" ref="H42:H44" si="10">IF(E42&lt;=0,0,$F42/E42*100)</f>
        <v>0</v>
      </c>
      <c r="I42" s="177"/>
    </row>
    <row r="43" spans="1:9" ht="25.5" x14ac:dyDescent="0.2">
      <c r="A43" s="183">
        <v>3600</v>
      </c>
      <c r="B43" s="184">
        <v>5272</v>
      </c>
      <c r="C43" s="328" t="s">
        <v>279</v>
      </c>
      <c r="D43" s="307">
        <v>2500</v>
      </c>
      <c r="E43" s="307">
        <v>2500</v>
      </c>
      <c r="F43" s="307"/>
      <c r="G43" s="186">
        <f t="shared" si="9"/>
        <v>0</v>
      </c>
      <c r="H43" s="187">
        <f t="shared" si="10"/>
        <v>0</v>
      </c>
      <c r="I43" s="331"/>
    </row>
    <row r="44" spans="1:9" x14ac:dyDescent="0.2">
      <c r="A44" s="183">
        <v>3600</v>
      </c>
      <c r="B44" s="184">
        <v>5273</v>
      </c>
      <c r="C44" s="69" t="s">
        <v>214</v>
      </c>
      <c r="D44" s="307">
        <v>100</v>
      </c>
      <c r="E44" s="307">
        <v>100</v>
      </c>
      <c r="F44" s="185"/>
      <c r="G44" s="186">
        <f t="shared" si="9"/>
        <v>0</v>
      </c>
      <c r="H44" s="187">
        <f t="shared" si="10"/>
        <v>0</v>
      </c>
      <c r="I44" s="177"/>
    </row>
    <row r="45" spans="1:9" x14ac:dyDescent="0.2">
      <c r="A45" s="188" t="s">
        <v>58</v>
      </c>
      <c r="B45" s="184"/>
      <c r="C45" s="69"/>
      <c r="D45" s="309">
        <f>SUBTOTAL(9,D41:D44)</f>
        <v>3300</v>
      </c>
      <c r="E45" s="309">
        <f>SUBTOTAL(9,E41:E44)</f>
        <v>3300</v>
      </c>
      <c r="F45" s="180">
        <f>SUBTOTAL(9,F41:F44)</f>
        <v>5</v>
      </c>
      <c r="G45" s="181">
        <f t="shared" ref="G45:G58" si="11">IF(D45&lt;=0,0,$F45/D45*100)</f>
        <v>0.15151515151515152</v>
      </c>
      <c r="H45" s="182">
        <f t="shared" ref="H45:H58" si="12">IF(E45&lt;=0,0,$F45/E45*100)</f>
        <v>0.15151515151515152</v>
      </c>
      <c r="I45" s="177"/>
    </row>
    <row r="46" spans="1:9" x14ac:dyDescent="0.2">
      <c r="A46" s="188"/>
      <c r="B46" s="184"/>
      <c r="C46" s="69"/>
      <c r="D46" s="309"/>
      <c r="E46" s="309"/>
      <c r="F46" s="180"/>
      <c r="G46" s="181">
        <f t="shared" si="11"/>
        <v>0</v>
      </c>
      <c r="H46" s="182">
        <f t="shared" si="12"/>
        <v>0</v>
      </c>
      <c r="I46" s="177"/>
    </row>
    <row r="47" spans="1:9" x14ac:dyDescent="0.2">
      <c r="A47" s="203" t="s">
        <v>52</v>
      </c>
      <c r="B47" s="204"/>
      <c r="C47" s="115"/>
      <c r="D47" s="309"/>
      <c r="E47" s="309"/>
      <c r="F47" s="180"/>
      <c r="G47" s="181">
        <f t="shared" si="11"/>
        <v>0</v>
      </c>
      <c r="H47" s="182">
        <f t="shared" si="12"/>
        <v>0</v>
      </c>
      <c r="I47" s="177"/>
    </row>
    <row r="48" spans="1:9" x14ac:dyDescent="0.2">
      <c r="A48" s="183">
        <v>3900</v>
      </c>
      <c r="B48" s="184">
        <v>6211</v>
      </c>
      <c r="C48" s="69" t="s">
        <v>53</v>
      </c>
      <c r="D48" s="307">
        <v>1853</v>
      </c>
      <c r="E48" s="307">
        <v>1853</v>
      </c>
      <c r="F48" s="185">
        <v>1768</v>
      </c>
      <c r="G48" s="186">
        <f t="shared" si="11"/>
        <v>95.412844036697251</v>
      </c>
      <c r="H48" s="187">
        <f t="shared" si="12"/>
        <v>95.412844036697251</v>
      </c>
      <c r="I48" s="177"/>
    </row>
    <row r="49" spans="1:9" x14ac:dyDescent="0.2">
      <c r="A49" s="205" t="s">
        <v>188</v>
      </c>
      <c r="B49" s="206"/>
      <c r="C49" s="207"/>
      <c r="D49" s="315">
        <f>SUBTOTAL(9,D48:D48)</f>
        <v>1853</v>
      </c>
      <c r="E49" s="315">
        <f>SUBTOTAL(9,E48:E48)</f>
        <v>1853</v>
      </c>
      <c r="F49" s="208">
        <f>SUBTOTAL(9,F48:F48)</f>
        <v>1768</v>
      </c>
      <c r="G49" s="209">
        <f t="shared" si="11"/>
        <v>95.412844036697251</v>
      </c>
      <c r="H49" s="210">
        <f t="shared" si="12"/>
        <v>95.412844036697251</v>
      </c>
      <c r="I49" s="177"/>
    </row>
    <row r="50" spans="1:9" x14ac:dyDescent="0.2">
      <c r="A50" s="188"/>
      <c r="B50" s="184"/>
      <c r="C50" s="69"/>
      <c r="D50" s="309"/>
      <c r="E50" s="309"/>
      <c r="F50" s="180"/>
      <c r="G50" s="181">
        <f t="shared" si="11"/>
        <v>0</v>
      </c>
      <c r="H50" s="182">
        <f t="shared" si="12"/>
        <v>0</v>
      </c>
      <c r="I50" s="177"/>
    </row>
    <row r="51" spans="1:9" x14ac:dyDescent="0.2">
      <c r="A51" s="203" t="s">
        <v>79</v>
      </c>
      <c r="B51" s="204"/>
      <c r="C51" s="115"/>
      <c r="D51" s="309"/>
      <c r="E51" s="309"/>
      <c r="F51" s="180"/>
      <c r="G51" s="181">
        <f t="shared" si="11"/>
        <v>0</v>
      </c>
      <c r="H51" s="182">
        <f t="shared" si="12"/>
        <v>0</v>
      </c>
      <c r="I51" s="177"/>
    </row>
    <row r="52" spans="1:9" x14ac:dyDescent="0.2">
      <c r="A52" s="211">
        <v>4100</v>
      </c>
      <c r="B52" s="179">
        <v>3635</v>
      </c>
      <c r="C52" s="87" t="s">
        <v>69</v>
      </c>
      <c r="D52" s="308">
        <v>20211</v>
      </c>
      <c r="E52" s="308">
        <v>23940</v>
      </c>
      <c r="F52" s="212">
        <v>19890</v>
      </c>
      <c r="G52" s="213">
        <f t="shared" si="11"/>
        <v>98.411755974469344</v>
      </c>
      <c r="H52" s="214">
        <f t="shared" si="12"/>
        <v>83.082706766917298</v>
      </c>
      <c r="I52" s="177"/>
    </row>
    <row r="53" spans="1:9" x14ac:dyDescent="0.2">
      <c r="A53" s="203" t="s">
        <v>183</v>
      </c>
      <c r="B53" s="204"/>
      <c r="C53" s="115"/>
      <c r="D53" s="309">
        <f>SUBTOTAL(9,D52:D52)</f>
        <v>20211</v>
      </c>
      <c r="E53" s="309">
        <f>SUBTOTAL(9,E52:E52)</f>
        <v>23940</v>
      </c>
      <c r="F53" s="180">
        <f>SUBTOTAL(9,F52:F52)</f>
        <v>19890</v>
      </c>
      <c r="G53" s="181">
        <f t="shared" si="11"/>
        <v>98.411755974469344</v>
      </c>
      <c r="H53" s="182">
        <f t="shared" si="12"/>
        <v>83.082706766917298</v>
      </c>
      <c r="I53" s="177"/>
    </row>
    <row r="54" spans="1:9" x14ac:dyDescent="0.2">
      <c r="A54" s="188"/>
      <c r="B54" s="184"/>
      <c r="C54" s="69"/>
      <c r="D54" s="309"/>
      <c r="E54" s="309"/>
      <c r="F54" s="180"/>
      <c r="G54" s="181">
        <f t="shared" si="11"/>
        <v>0</v>
      </c>
      <c r="H54" s="182">
        <f t="shared" si="12"/>
        <v>0</v>
      </c>
      <c r="I54" s="177"/>
    </row>
    <row r="55" spans="1:9" x14ac:dyDescent="0.2">
      <c r="A55" s="188" t="s">
        <v>4</v>
      </c>
      <c r="B55" s="184"/>
      <c r="C55" s="108"/>
      <c r="D55" s="309"/>
      <c r="E55" s="309"/>
      <c r="F55" s="180"/>
      <c r="G55" s="181">
        <f t="shared" si="11"/>
        <v>0</v>
      </c>
      <c r="H55" s="182">
        <f t="shared" si="12"/>
        <v>0</v>
      </c>
      <c r="I55" s="177"/>
    </row>
    <row r="56" spans="1:9" x14ac:dyDescent="0.2">
      <c r="A56" s="183">
        <v>4200</v>
      </c>
      <c r="B56" s="184">
        <v>1014</v>
      </c>
      <c r="C56" s="69" t="s">
        <v>60</v>
      </c>
      <c r="D56" s="307">
        <v>150</v>
      </c>
      <c r="E56" s="307">
        <v>150</v>
      </c>
      <c r="F56" s="185"/>
      <c r="G56" s="186">
        <f t="shared" si="11"/>
        <v>0</v>
      </c>
      <c r="H56" s="187">
        <f t="shared" si="12"/>
        <v>0</v>
      </c>
      <c r="I56" s="177"/>
    </row>
    <row r="57" spans="1:9" x14ac:dyDescent="0.2">
      <c r="A57" s="183">
        <v>4200</v>
      </c>
      <c r="B57" s="184">
        <v>2115</v>
      </c>
      <c r="C57" s="69" t="s">
        <v>273</v>
      </c>
      <c r="D57" s="307">
        <v>500</v>
      </c>
      <c r="E57" s="307">
        <v>500</v>
      </c>
      <c r="F57" s="185">
        <v>253</v>
      </c>
      <c r="G57" s="186">
        <f t="shared" si="11"/>
        <v>50.6</v>
      </c>
      <c r="H57" s="187">
        <f t="shared" si="12"/>
        <v>50.6</v>
      </c>
      <c r="I57" s="177"/>
    </row>
    <row r="58" spans="1:9" x14ac:dyDescent="0.2">
      <c r="A58" s="183">
        <v>4200</v>
      </c>
      <c r="B58" s="215">
        <v>3599</v>
      </c>
      <c r="C58" s="89" t="s">
        <v>82</v>
      </c>
      <c r="D58" s="307">
        <v>2207</v>
      </c>
      <c r="E58" s="307">
        <v>2020</v>
      </c>
      <c r="F58" s="185">
        <v>1534</v>
      </c>
      <c r="G58" s="186">
        <f t="shared" si="11"/>
        <v>69.50611690077028</v>
      </c>
      <c r="H58" s="187">
        <f t="shared" si="12"/>
        <v>75.940594059405939</v>
      </c>
      <c r="I58" s="177"/>
    </row>
    <row r="59" spans="1:9" x14ac:dyDescent="0.2">
      <c r="A59" s="183">
        <v>4200</v>
      </c>
      <c r="B59" s="184">
        <v>3632</v>
      </c>
      <c r="C59" s="69" t="s">
        <v>1</v>
      </c>
      <c r="D59" s="307">
        <v>33457</v>
      </c>
      <c r="E59" s="307">
        <v>36053</v>
      </c>
      <c r="F59" s="185">
        <v>34669</v>
      </c>
      <c r="G59" s="186">
        <f t="shared" ref="G59:G69" si="13">IF(D59&lt;=0,0,$F59/D59*100)</f>
        <v>103.62256030128225</v>
      </c>
      <c r="H59" s="187">
        <f t="shared" ref="H59:H69" si="14">IF(E59&lt;=0,0,$F59/E59*100)</f>
        <v>96.161207111752148</v>
      </c>
      <c r="I59" s="177"/>
    </row>
    <row r="60" spans="1:9" x14ac:dyDescent="0.2">
      <c r="A60" s="183">
        <v>4200</v>
      </c>
      <c r="B60" s="184">
        <v>3716</v>
      </c>
      <c r="C60" s="69" t="s">
        <v>61</v>
      </c>
      <c r="D60" s="307">
        <v>3825</v>
      </c>
      <c r="E60" s="307">
        <v>3825</v>
      </c>
      <c r="F60" s="185">
        <v>2732</v>
      </c>
      <c r="G60" s="186">
        <f t="shared" si="13"/>
        <v>71.424836601307192</v>
      </c>
      <c r="H60" s="187">
        <f t="shared" si="14"/>
        <v>71.424836601307192</v>
      </c>
    </row>
    <row r="61" spans="1:9" x14ac:dyDescent="0.2">
      <c r="A61" s="183">
        <v>4200</v>
      </c>
      <c r="B61" s="184">
        <v>3719</v>
      </c>
      <c r="C61" s="69" t="s">
        <v>285</v>
      </c>
      <c r="D61" s="307"/>
      <c r="E61" s="307">
        <v>500</v>
      </c>
      <c r="F61" s="185"/>
      <c r="G61" s="186">
        <f t="shared" si="13"/>
        <v>0</v>
      </c>
      <c r="H61" s="187">
        <f t="shared" si="14"/>
        <v>0</v>
      </c>
      <c r="I61" s="177"/>
    </row>
    <row r="62" spans="1:9" x14ac:dyDescent="0.2">
      <c r="A62" s="183">
        <v>4200</v>
      </c>
      <c r="B62" s="184">
        <v>3722</v>
      </c>
      <c r="C62" s="69" t="s">
        <v>62</v>
      </c>
      <c r="D62" s="307">
        <v>192000</v>
      </c>
      <c r="E62" s="307">
        <v>185710</v>
      </c>
      <c r="F62" s="185">
        <v>171428</v>
      </c>
      <c r="G62" s="186">
        <f t="shared" si="13"/>
        <v>89.285416666666663</v>
      </c>
      <c r="H62" s="187">
        <f t="shared" si="14"/>
        <v>92.309514834957724</v>
      </c>
      <c r="I62" s="177"/>
    </row>
    <row r="63" spans="1:9" x14ac:dyDescent="0.2">
      <c r="A63" s="183">
        <v>4200</v>
      </c>
      <c r="B63" s="184">
        <v>3725</v>
      </c>
      <c r="C63" s="69" t="s">
        <v>63</v>
      </c>
      <c r="D63" s="307">
        <v>126879</v>
      </c>
      <c r="E63" s="307">
        <v>131751</v>
      </c>
      <c r="F63" s="185">
        <v>124927</v>
      </c>
      <c r="G63" s="186">
        <f t="shared" si="13"/>
        <v>98.461526336115512</v>
      </c>
      <c r="H63" s="187">
        <f t="shared" si="14"/>
        <v>94.820532671478773</v>
      </c>
      <c r="I63" s="177"/>
    </row>
    <row r="64" spans="1:9" x14ac:dyDescent="0.2">
      <c r="A64" s="183">
        <v>4200</v>
      </c>
      <c r="B64" s="184">
        <v>3729</v>
      </c>
      <c r="C64" s="69" t="s">
        <v>64</v>
      </c>
      <c r="D64" s="307">
        <v>2000</v>
      </c>
      <c r="E64" s="307">
        <v>2000</v>
      </c>
      <c r="F64" s="185">
        <v>473</v>
      </c>
      <c r="G64" s="186">
        <f t="shared" si="13"/>
        <v>23.65</v>
      </c>
      <c r="H64" s="187">
        <f t="shared" si="14"/>
        <v>23.65</v>
      </c>
      <c r="I64" s="177"/>
    </row>
    <row r="65" spans="1:9" x14ac:dyDescent="0.2">
      <c r="A65" s="183">
        <v>4200</v>
      </c>
      <c r="B65" s="184">
        <v>3733</v>
      </c>
      <c r="C65" s="69" t="s">
        <v>65</v>
      </c>
      <c r="D65" s="307">
        <v>642</v>
      </c>
      <c r="E65" s="307">
        <v>642</v>
      </c>
      <c r="F65" s="185">
        <v>456</v>
      </c>
      <c r="G65" s="186">
        <f t="shared" si="13"/>
        <v>71.028037383177562</v>
      </c>
      <c r="H65" s="187">
        <f t="shared" si="14"/>
        <v>71.028037383177562</v>
      </c>
      <c r="I65" s="177"/>
    </row>
    <row r="66" spans="1:9" x14ac:dyDescent="0.2">
      <c r="A66" s="183">
        <v>4200</v>
      </c>
      <c r="B66" s="184">
        <v>3739</v>
      </c>
      <c r="C66" s="69" t="s">
        <v>66</v>
      </c>
      <c r="D66" s="307">
        <v>910</v>
      </c>
      <c r="E66" s="307">
        <v>910</v>
      </c>
      <c r="F66" s="185">
        <v>274</v>
      </c>
      <c r="G66" s="186">
        <f t="shared" si="13"/>
        <v>30.109890109890109</v>
      </c>
      <c r="H66" s="187">
        <f t="shared" si="14"/>
        <v>30.109890109890109</v>
      </c>
      <c r="I66" s="177"/>
    </row>
    <row r="67" spans="1:9" x14ac:dyDescent="0.2">
      <c r="A67" s="183">
        <v>4200</v>
      </c>
      <c r="B67" s="184">
        <v>3741</v>
      </c>
      <c r="C67" s="69" t="s">
        <v>6</v>
      </c>
      <c r="D67" s="307">
        <v>56199</v>
      </c>
      <c r="E67" s="307">
        <v>59497</v>
      </c>
      <c r="F67" s="185">
        <v>59191</v>
      </c>
      <c r="G67" s="186">
        <f t="shared" si="13"/>
        <v>105.32393814836563</v>
      </c>
      <c r="H67" s="187">
        <f t="shared" si="14"/>
        <v>99.485688354034664</v>
      </c>
      <c r="I67" s="177"/>
    </row>
    <row r="68" spans="1:9" x14ac:dyDescent="0.2">
      <c r="A68" s="183">
        <v>4200</v>
      </c>
      <c r="B68" s="184">
        <v>3742</v>
      </c>
      <c r="C68" s="69" t="s">
        <v>7</v>
      </c>
      <c r="D68" s="307">
        <v>970</v>
      </c>
      <c r="E68" s="307">
        <v>970</v>
      </c>
      <c r="F68" s="185">
        <v>496</v>
      </c>
      <c r="G68" s="186">
        <f t="shared" si="13"/>
        <v>51.134020618556697</v>
      </c>
      <c r="H68" s="187">
        <f t="shared" si="14"/>
        <v>51.134020618556697</v>
      </c>
      <c r="I68" s="177"/>
    </row>
    <row r="69" spans="1:9" x14ac:dyDescent="0.2">
      <c r="A69" s="183">
        <v>4200</v>
      </c>
      <c r="B69" s="184">
        <v>3745</v>
      </c>
      <c r="C69" s="69" t="s">
        <v>2</v>
      </c>
      <c r="D69" s="307">
        <v>41253</v>
      </c>
      <c r="E69" s="307">
        <v>41409</v>
      </c>
      <c r="F69" s="185">
        <v>39698</v>
      </c>
      <c r="G69" s="186">
        <f t="shared" si="13"/>
        <v>96.23057717014521</v>
      </c>
      <c r="H69" s="187">
        <f t="shared" si="14"/>
        <v>95.868048008886959</v>
      </c>
      <c r="I69" s="177"/>
    </row>
    <row r="70" spans="1:9" x14ac:dyDescent="0.2">
      <c r="A70" s="183">
        <v>4200</v>
      </c>
      <c r="B70" s="184">
        <v>3792</v>
      </c>
      <c r="C70" s="69" t="s">
        <v>8</v>
      </c>
      <c r="D70" s="307">
        <v>4018</v>
      </c>
      <c r="E70" s="307">
        <v>4018</v>
      </c>
      <c r="F70" s="185">
        <v>3868</v>
      </c>
      <c r="G70" s="186">
        <f t="shared" ref="G70:G72" si="15">IF(D70&lt;=0,0,$F70/D70*100)</f>
        <v>96.266799402687909</v>
      </c>
      <c r="H70" s="187">
        <f t="shared" ref="H70:H72" si="16">IF(E70&lt;=0,0,$F70/E70*100)</f>
        <v>96.266799402687909</v>
      </c>
      <c r="I70" s="177"/>
    </row>
    <row r="71" spans="1:9" x14ac:dyDescent="0.2">
      <c r="A71" s="183">
        <v>4200</v>
      </c>
      <c r="B71" s="184">
        <v>5319</v>
      </c>
      <c r="C71" s="115" t="s">
        <v>185</v>
      </c>
      <c r="D71" s="307"/>
      <c r="E71" s="307">
        <v>30</v>
      </c>
      <c r="F71" s="185">
        <v>30</v>
      </c>
      <c r="G71" s="186">
        <f t="shared" ref="G71" si="17">IF(D71&lt;=0,0,$F71/D71*100)</f>
        <v>0</v>
      </c>
      <c r="H71" s="187">
        <f t="shared" ref="H71" si="18">IF(E71&lt;=0,0,$F71/E71*100)</f>
        <v>100</v>
      </c>
      <c r="I71" s="177"/>
    </row>
    <row r="72" spans="1:9" x14ac:dyDescent="0.2">
      <c r="A72" s="183">
        <v>4200</v>
      </c>
      <c r="B72" s="184">
        <v>6330</v>
      </c>
      <c r="C72" s="64" t="s">
        <v>260</v>
      </c>
      <c r="D72" s="307"/>
      <c r="E72" s="307">
        <v>918</v>
      </c>
      <c r="F72" s="185">
        <v>913</v>
      </c>
      <c r="G72" s="186">
        <f t="shared" si="15"/>
        <v>0</v>
      </c>
      <c r="H72" s="187">
        <f t="shared" si="16"/>
        <v>99.455337690631808</v>
      </c>
      <c r="I72" s="177"/>
    </row>
    <row r="73" spans="1:9" x14ac:dyDescent="0.2">
      <c r="A73" s="188" t="s">
        <v>182</v>
      </c>
      <c r="B73" s="184"/>
      <c r="C73" s="69"/>
      <c r="D73" s="309">
        <f>SUBTOTAL(9,D56:D72)</f>
        <v>465010</v>
      </c>
      <c r="E73" s="309">
        <f>SUBTOTAL(9,E56:E72)</f>
        <v>470903</v>
      </c>
      <c r="F73" s="180">
        <f>SUBTOTAL(9,F56:F72)</f>
        <v>440942</v>
      </c>
      <c r="G73" s="181">
        <f t="shared" ref="G73:H77" si="19">IF(D73&lt;=0,0,$F73/D73*100)</f>
        <v>94.824197329089699</v>
      </c>
      <c r="H73" s="182">
        <f t="shared" si="19"/>
        <v>93.637543188299915</v>
      </c>
      <c r="I73" s="177"/>
    </row>
    <row r="74" spans="1:9" x14ac:dyDescent="0.2">
      <c r="A74" s="188"/>
      <c r="B74" s="184"/>
      <c r="C74" s="69"/>
      <c r="D74" s="309"/>
      <c r="E74" s="309"/>
      <c r="F74" s="180"/>
      <c r="G74" s="181">
        <f t="shared" si="19"/>
        <v>0</v>
      </c>
      <c r="H74" s="182">
        <f t="shared" si="19"/>
        <v>0</v>
      </c>
      <c r="I74" s="177"/>
    </row>
    <row r="75" spans="1:9" x14ac:dyDescent="0.2">
      <c r="A75" s="188" t="s">
        <v>42</v>
      </c>
      <c r="B75" s="184"/>
      <c r="C75" s="69"/>
      <c r="D75" s="309"/>
      <c r="E75" s="309"/>
      <c r="F75" s="180"/>
      <c r="G75" s="181">
        <f t="shared" si="19"/>
        <v>0</v>
      </c>
      <c r="H75" s="182">
        <f t="shared" si="19"/>
        <v>0</v>
      </c>
      <c r="I75" s="177"/>
    </row>
    <row r="76" spans="1:9" x14ac:dyDescent="0.2">
      <c r="A76" s="216">
        <v>4300</v>
      </c>
      <c r="B76" s="204">
        <v>1014</v>
      </c>
      <c r="C76" s="115" t="s">
        <v>222</v>
      </c>
      <c r="D76" s="308">
        <v>50</v>
      </c>
      <c r="E76" s="308">
        <v>50</v>
      </c>
      <c r="F76" s="217"/>
      <c r="G76" s="218">
        <f t="shared" si="19"/>
        <v>0</v>
      </c>
      <c r="H76" s="219">
        <f t="shared" si="19"/>
        <v>0</v>
      </c>
      <c r="I76" s="177"/>
    </row>
    <row r="77" spans="1:9" x14ac:dyDescent="0.2">
      <c r="A77" s="216">
        <v>4300</v>
      </c>
      <c r="B77" s="204">
        <v>1037</v>
      </c>
      <c r="C77" s="115" t="s">
        <v>67</v>
      </c>
      <c r="D77" s="308">
        <v>70</v>
      </c>
      <c r="E77" s="308">
        <v>105</v>
      </c>
      <c r="F77" s="217">
        <v>99</v>
      </c>
      <c r="G77" s="186">
        <f t="shared" si="19"/>
        <v>141.42857142857144</v>
      </c>
      <c r="H77" s="187">
        <f t="shared" si="19"/>
        <v>94.285714285714278</v>
      </c>
      <c r="I77" s="177"/>
    </row>
    <row r="78" spans="1:9" x14ac:dyDescent="0.2">
      <c r="A78" s="216">
        <v>4300</v>
      </c>
      <c r="B78" s="204">
        <v>1039</v>
      </c>
      <c r="C78" s="115" t="s">
        <v>286</v>
      </c>
      <c r="D78" s="308"/>
      <c r="E78" s="308">
        <v>530</v>
      </c>
      <c r="F78" s="217">
        <v>330</v>
      </c>
      <c r="G78" s="186">
        <f t="shared" ref="G78:G84" si="20">IF(D78&lt;=0,0,$F78/D78*100)</f>
        <v>0</v>
      </c>
      <c r="H78" s="187">
        <f t="shared" ref="H78:H84" si="21">IF(E78&lt;=0,0,$F78/E78*100)</f>
        <v>62.264150943396224</v>
      </c>
      <c r="I78" s="177"/>
    </row>
    <row r="79" spans="1:9" x14ac:dyDescent="0.2">
      <c r="A79" s="216">
        <v>4300</v>
      </c>
      <c r="B79" s="204">
        <v>2310</v>
      </c>
      <c r="C79" s="115" t="s">
        <v>68</v>
      </c>
      <c r="D79" s="308">
        <v>100</v>
      </c>
      <c r="E79" s="308">
        <v>100</v>
      </c>
      <c r="F79" s="217"/>
      <c r="G79" s="186">
        <f t="shared" si="20"/>
        <v>0</v>
      </c>
      <c r="H79" s="187">
        <f t="shared" si="21"/>
        <v>0</v>
      </c>
      <c r="I79" s="177"/>
    </row>
    <row r="80" spans="1:9" x14ac:dyDescent="0.2">
      <c r="A80" s="216">
        <v>4300</v>
      </c>
      <c r="B80" s="204">
        <v>2331</v>
      </c>
      <c r="C80" s="220" t="s">
        <v>228</v>
      </c>
      <c r="D80" s="308">
        <v>2670</v>
      </c>
      <c r="E80" s="308">
        <v>2670</v>
      </c>
      <c r="F80" s="217">
        <v>2026</v>
      </c>
      <c r="G80" s="186">
        <f t="shared" si="20"/>
        <v>75.880149812734089</v>
      </c>
      <c r="H80" s="187">
        <f t="shared" si="21"/>
        <v>75.880149812734089</v>
      </c>
      <c r="I80" s="177"/>
    </row>
    <row r="81" spans="1:9" x14ac:dyDescent="0.2">
      <c r="A81" s="216">
        <v>4300</v>
      </c>
      <c r="B81" s="204">
        <v>2333</v>
      </c>
      <c r="C81" s="115" t="s">
        <v>21</v>
      </c>
      <c r="D81" s="308">
        <v>3700</v>
      </c>
      <c r="E81" s="308">
        <v>3700</v>
      </c>
      <c r="F81" s="217">
        <v>3699</v>
      </c>
      <c r="G81" s="186">
        <f t="shared" si="20"/>
        <v>99.972972972972968</v>
      </c>
      <c r="H81" s="187">
        <f t="shared" si="21"/>
        <v>99.972972972972968</v>
      </c>
      <c r="I81" s="177"/>
    </row>
    <row r="82" spans="1:9" x14ac:dyDescent="0.2">
      <c r="A82" s="216">
        <v>4300</v>
      </c>
      <c r="B82" s="204">
        <v>3739</v>
      </c>
      <c r="C82" s="87" t="s">
        <v>66</v>
      </c>
      <c r="D82" s="308">
        <v>250</v>
      </c>
      <c r="E82" s="308">
        <v>250</v>
      </c>
      <c r="F82" s="217"/>
      <c r="G82" s="186">
        <f t="shared" si="20"/>
        <v>0</v>
      </c>
      <c r="H82" s="187">
        <f t="shared" si="21"/>
        <v>0</v>
      </c>
      <c r="I82" s="177"/>
    </row>
    <row r="83" spans="1:9" x14ac:dyDescent="0.2">
      <c r="A83" s="216">
        <v>4300</v>
      </c>
      <c r="B83" s="204">
        <v>3744</v>
      </c>
      <c r="C83" s="115" t="s">
        <v>70</v>
      </c>
      <c r="D83" s="308">
        <v>396</v>
      </c>
      <c r="E83" s="308">
        <v>546</v>
      </c>
      <c r="F83" s="217">
        <v>103</v>
      </c>
      <c r="G83" s="186">
        <f t="shared" si="20"/>
        <v>26.01010101010101</v>
      </c>
      <c r="H83" s="187">
        <f t="shared" si="21"/>
        <v>18.864468864468865</v>
      </c>
      <c r="I83" s="177"/>
    </row>
    <row r="84" spans="1:9" x14ac:dyDescent="0.2">
      <c r="A84" s="216">
        <v>4300</v>
      </c>
      <c r="B84" s="204">
        <v>3745</v>
      </c>
      <c r="C84" s="69" t="s">
        <v>2</v>
      </c>
      <c r="D84" s="308">
        <v>13095</v>
      </c>
      <c r="E84" s="308">
        <v>13095</v>
      </c>
      <c r="F84" s="217">
        <v>12768</v>
      </c>
      <c r="G84" s="186">
        <f t="shared" si="20"/>
        <v>97.502863688430693</v>
      </c>
      <c r="H84" s="187">
        <f t="shared" si="21"/>
        <v>97.502863688430693</v>
      </c>
      <c r="I84" s="177"/>
    </row>
    <row r="85" spans="1:9" x14ac:dyDescent="0.2">
      <c r="A85" s="203" t="s">
        <v>184</v>
      </c>
      <c r="B85" s="204"/>
      <c r="C85" s="115"/>
      <c r="D85" s="309">
        <f>SUBTOTAL(9,D76:D84)</f>
        <v>20331</v>
      </c>
      <c r="E85" s="309">
        <f>SUBTOTAL(9,E76:E84)</f>
        <v>21046</v>
      </c>
      <c r="F85" s="180">
        <f>SUBTOTAL(9,F76:F84)</f>
        <v>19025</v>
      </c>
      <c r="G85" s="181">
        <f t="shared" ref="G85:H88" si="22">IF(D85&lt;=0,0,$F85/D85*100)</f>
        <v>93.576312035807391</v>
      </c>
      <c r="H85" s="182">
        <f t="shared" si="22"/>
        <v>90.397225125914659</v>
      </c>
      <c r="I85" s="177"/>
    </row>
    <row r="86" spans="1:9" x14ac:dyDescent="0.2">
      <c r="A86" s="203"/>
      <c r="B86" s="204"/>
      <c r="C86" s="115"/>
      <c r="D86" s="309"/>
      <c r="E86" s="309"/>
      <c r="F86" s="180"/>
      <c r="G86" s="181">
        <f t="shared" si="22"/>
        <v>0</v>
      </c>
      <c r="H86" s="182">
        <f t="shared" si="22"/>
        <v>0</v>
      </c>
      <c r="I86" s="177"/>
    </row>
    <row r="87" spans="1:9" x14ac:dyDescent="0.2">
      <c r="A87" s="202" t="s">
        <v>35</v>
      </c>
      <c r="B87" s="200"/>
      <c r="C87" s="104"/>
      <c r="D87" s="309"/>
      <c r="E87" s="309"/>
      <c r="F87" s="180"/>
      <c r="G87" s="181">
        <f t="shared" si="22"/>
        <v>0</v>
      </c>
      <c r="H87" s="182">
        <f t="shared" si="22"/>
        <v>0</v>
      </c>
      <c r="I87" s="177"/>
    </row>
    <row r="88" spans="1:9" x14ac:dyDescent="0.2">
      <c r="A88" s="183">
        <v>5300</v>
      </c>
      <c r="B88" s="184">
        <v>3113</v>
      </c>
      <c r="C88" s="69" t="s">
        <v>22</v>
      </c>
      <c r="D88" s="307"/>
      <c r="E88" s="307">
        <v>40</v>
      </c>
      <c r="F88" s="185">
        <v>40</v>
      </c>
      <c r="G88" s="186">
        <f t="shared" si="22"/>
        <v>0</v>
      </c>
      <c r="H88" s="187">
        <f t="shared" si="22"/>
        <v>100</v>
      </c>
      <c r="I88" s="177"/>
    </row>
    <row r="89" spans="1:9" x14ac:dyDescent="0.2">
      <c r="A89" s="183">
        <v>5300</v>
      </c>
      <c r="B89" s="184">
        <v>3119</v>
      </c>
      <c r="C89" s="69" t="s">
        <v>283</v>
      </c>
      <c r="D89" s="307"/>
      <c r="E89" s="307">
        <v>120</v>
      </c>
      <c r="F89" s="185">
        <v>97</v>
      </c>
      <c r="G89" s="186">
        <f t="shared" ref="G89" si="23">IF(D89&lt;=0,0,$F89/D89*100)</f>
        <v>0</v>
      </c>
      <c r="H89" s="187">
        <f t="shared" ref="H89" si="24">IF(E89&lt;=0,0,$F89/E89*100)</f>
        <v>80.833333333333329</v>
      </c>
      <c r="I89" s="177"/>
    </row>
    <row r="90" spans="1:9" x14ac:dyDescent="0.2">
      <c r="A90" s="183">
        <v>5300</v>
      </c>
      <c r="B90" s="184">
        <v>6171</v>
      </c>
      <c r="C90" s="69" t="s">
        <v>9</v>
      </c>
      <c r="D90" s="307">
        <v>204311</v>
      </c>
      <c r="E90" s="307">
        <v>220510</v>
      </c>
      <c r="F90" s="185">
        <v>186163</v>
      </c>
      <c r="G90" s="186">
        <f t="shared" ref="G90:G93" si="25">IF(D90&lt;=0,0,$F90/D90*100)</f>
        <v>91.11746308324075</v>
      </c>
      <c r="H90" s="187">
        <f t="shared" ref="H90:H93" si="26">IF(E90&lt;=0,0,$F90/E90*100)</f>
        <v>84.423835653711848</v>
      </c>
      <c r="I90" s="177"/>
    </row>
    <row r="91" spans="1:9" x14ac:dyDescent="0.2">
      <c r="A91" s="188" t="s">
        <v>40</v>
      </c>
      <c r="B91" s="184"/>
      <c r="C91" s="69"/>
      <c r="D91" s="309">
        <f>SUBTOTAL(9,D88:D90)</f>
        <v>204311</v>
      </c>
      <c r="E91" s="309">
        <f t="shared" ref="E91:F91" si="27">SUBTOTAL(9,E88:E90)</f>
        <v>220670</v>
      </c>
      <c r="F91" s="180">
        <f t="shared" si="27"/>
        <v>186300</v>
      </c>
      <c r="G91" s="181">
        <f t="shared" si="25"/>
        <v>91.184517720533904</v>
      </c>
      <c r="H91" s="182">
        <f t="shared" si="26"/>
        <v>84.424706575429383</v>
      </c>
      <c r="I91" s="177"/>
    </row>
    <row r="92" spans="1:9" x14ac:dyDescent="0.2">
      <c r="A92" s="178"/>
      <c r="B92" s="179"/>
      <c r="C92" s="87"/>
      <c r="D92" s="309"/>
      <c r="E92" s="309"/>
      <c r="F92" s="180"/>
      <c r="G92" s="181">
        <f t="shared" si="25"/>
        <v>0</v>
      </c>
      <c r="H92" s="182">
        <f t="shared" si="26"/>
        <v>0</v>
      </c>
      <c r="I92" s="177"/>
    </row>
    <row r="93" spans="1:9" x14ac:dyDescent="0.2">
      <c r="A93" s="178" t="s">
        <v>16</v>
      </c>
      <c r="B93" s="179"/>
      <c r="C93" s="87"/>
      <c r="D93" s="309"/>
      <c r="E93" s="309"/>
      <c r="F93" s="180"/>
      <c r="G93" s="181">
        <f t="shared" si="25"/>
        <v>0</v>
      </c>
      <c r="H93" s="182">
        <f t="shared" si="26"/>
        <v>0</v>
      </c>
      <c r="I93" s="177"/>
    </row>
    <row r="94" spans="1:9" x14ac:dyDescent="0.2">
      <c r="A94" s="211">
        <v>5400</v>
      </c>
      <c r="B94" s="179">
        <v>2143</v>
      </c>
      <c r="C94" s="87" t="s">
        <v>177</v>
      </c>
      <c r="D94" s="308">
        <v>1510</v>
      </c>
      <c r="E94" s="308">
        <v>1510</v>
      </c>
      <c r="F94" s="212">
        <v>1510</v>
      </c>
      <c r="G94" s="186">
        <f t="shared" ref="G94:G101" si="28">IF(D94&lt;=0,0,$F94/D94*100)</f>
        <v>100</v>
      </c>
      <c r="H94" s="187">
        <f t="shared" ref="H94:H101" si="29">IF(E94&lt;=0,0,$F94/E94*100)</f>
        <v>100</v>
      </c>
      <c r="I94" s="330"/>
    </row>
    <row r="95" spans="1:9" x14ac:dyDescent="0.2">
      <c r="A95" s="211">
        <v>5400</v>
      </c>
      <c r="B95" s="179">
        <v>2212</v>
      </c>
      <c r="C95" s="87" t="s">
        <v>18</v>
      </c>
      <c r="D95" s="308">
        <v>586009</v>
      </c>
      <c r="E95" s="308">
        <v>642131</v>
      </c>
      <c r="F95" s="212">
        <v>640122</v>
      </c>
      <c r="G95" s="186">
        <f t="shared" si="28"/>
        <v>109.23415851974968</v>
      </c>
      <c r="H95" s="187">
        <f t="shared" si="29"/>
        <v>99.687135491044671</v>
      </c>
      <c r="I95" s="177"/>
    </row>
    <row r="96" spans="1:9" x14ac:dyDescent="0.2">
      <c r="A96" s="211">
        <v>5400</v>
      </c>
      <c r="B96" s="179">
        <v>2219</v>
      </c>
      <c r="C96" s="87" t="s">
        <v>50</v>
      </c>
      <c r="D96" s="308">
        <v>17556</v>
      </c>
      <c r="E96" s="308">
        <v>19654</v>
      </c>
      <c r="F96" s="212">
        <v>17881</v>
      </c>
      <c r="G96" s="186">
        <f t="shared" si="28"/>
        <v>101.8512189564821</v>
      </c>
      <c r="H96" s="187">
        <f t="shared" si="29"/>
        <v>90.978935585631433</v>
      </c>
      <c r="I96" s="177"/>
    </row>
    <row r="97" spans="1:9" x14ac:dyDescent="0.2">
      <c r="A97" s="211">
        <v>5400</v>
      </c>
      <c r="B97" s="179">
        <v>2229</v>
      </c>
      <c r="C97" s="87" t="s">
        <v>200</v>
      </c>
      <c r="D97" s="308">
        <v>1943100</v>
      </c>
      <c r="E97" s="308">
        <v>1943100</v>
      </c>
      <c r="F97" s="212">
        <v>1561861</v>
      </c>
      <c r="G97" s="186">
        <f t="shared" si="28"/>
        <v>80.379856929648497</v>
      </c>
      <c r="H97" s="187">
        <f t="shared" si="29"/>
        <v>80.379856929648497</v>
      </c>
      <c r="I97" s="177"/>
    </row>
    <row r="98" spans="1:9" x14ac:dyDescent="0.2">
      <c r="A98" s="211">
        <v>5400</v>
      </c>
      <c r="B98" s="179">
        <v>2271</v>
      </c>
      <c r="C98" s="87" t="s">
        <v>19</v>
      </c>
      <c r="D98" s="308">
        <v>5838</v>
      </c>
      <c r="E98" s="308">
        <v>5838</v>
      </c>
      <c r="F98" s="212">
        <v>5705</v>
      </c>
      <c r="G98" s="186">
        <f t="shared" si="28"/>
        <v>97.721822541966432</v>
      </c>
      <c r="H98" s="187">
        <f t="shared" si="29"/>
        <v>97.721822541966432</v>
      </c>
    </row>
    <row r="99" spans="1:9" x14ac:dyDescent="0.2">
      <c r="A99" s="211">
        <v>5400</v>
      </c>
      <c r="B99" s="179">
        <v>2299</v>
      </c>
      <c r="C99" s="87" t="s">
        <v>71</v>
      </c>
      <c r="D99" s="308">
        <v>8380</v>
      </c>
      <c r="E99" s="308">
        <v>8380</v>
      </c>
      <c r="F99" s="212">
        <v>8232</v>
      </c>
      <c r="G99" s="186">
        <f t="shared" si="28"/>
        <v>98.233890214797142</v>
      </c>
      <c r="H99" s="187">
        <f t="shared" si="29"/>
        <v>98.233890214797142</v>
      </c>
    </row>
    <row r="100" spans="1:9" x14ac:dyDescent="0.2">
      <c r="A100" s="211">
        <v>5400</v>
      </c>
      <c r="B100" s="179">
        <v>3636</v>
      </c>
      <c r="C100" s="201" t="s">
        <v>158</v>
      </c>
      <c r="D100" s="308">
        <v>5000</v>
      </c>
      <c r="E100" s="308">
        <v>6200</v>
      </c>
      <c r="F100" s="212">
        <v>5165</v>
      </c>
      <c r="G100" s="186">
        <f t="shared" ref="G100" si="30">IF(D100&lt;=0,0,$F100/D100*100)</f>
        <v>103.3</v>
      </c>
      <c r="H100" s="187">
        <f t="shared" ref="H100" si="31">IF(E100&lt;=0,0,$F100/E100*100)</f>
        <v>83.306451612903217</v>
      </c>
    </row>
    <row r="101" spans="1:9" x14ac:dyDescent="0.2">
      <c r="A101" s="211">
        <v>5400</v>
      </c>
      <c r="B101" s="179">
        <v>6330</v>
      </c>
      <c r="C101" s="64" t="s">
        <v>260</v>
      </c>
      <c r="D101" s="308"/>
      <c r="E101" s="308">
        <v>2129</v>
      </c>
      <c r="F101" s="212">
        <v>2129</v>
      </c>
      <c r="G101" s="186">
        <f t="shared" si="28"/>
        <v>0</v>
      </c>
      <c r="H101" s="187">
        <f t="shared" si="29"/>
        <v>100</v>
      </c>
    </row>
    <row r="102" spans="1:9" x14ac:dyDescent="0.2">
      <c r="A102" s="178" t="s">
        <v>14</v>
      </c>
      <c r="B102" s="179"/>
      <c r="C102" s="87"/>
      <c r="D102" s="309">
        <f>SUBTOTAL(9,D94:D101)</f>
        <v>2567393</v>
      </c>
      <c r="E102" s="309">
        <f>SUBTOTAL(9,E94:E101)</f>
        <v>2628942</v>
      </c>
      <c r="F102" s="180">
        <f>SUBTOTAL(9,F94:F101)</f>
        <v>2242605</v>
      </c>
      <c r="G102" s="181">
        <f t="shared" ref="G102:G201" si="32">IF(D102&lt;=0,0,$F102/D102*100)</f>
        <v>87.349502004562609</v>
      </c>
      <c r="H102" s="182">
        <f t="shared" ref="H102:H205" si="33">IF(E102&lt;=0,0,$F102/E102*100)</f>
        <v>85.304468489605327</v>
      </c>
    </row>
    <row r="103" spans="1:9" x14ac:dyDescent="0.2">
      <c r="A103" s="178"/>
      <c r="B103" s="179"/>
      <c r="C103" s="87"/>
      <c r="D103" s="309"/>
      <c r="E103" s="309"/>
      <c r="F103" s="180"/>
      <c r="G103" s="181">
        <f t="shared" si="32"/>
        <v>0</v>
      </c>
      <c r="H103" s="182">
        <f t="shared" si="33"/>
        <v>0</v>
      </c>
    </row>
    <row r="104" spans="1:9" x14ac:dyDescent="0.2">
      <c r="A104" s="178" t="s">
        <v>17</v>
      </c>
      <c r="B104" s="179"/>
      <c r="C104" s="87"/>
      <c r="D104" s="309"/>
      <c r="E104" s="309"/>
      <c r="F104" s="180"/>
      <c r="G104" s="181">
        <f t="shared" si="32"/>
        <v>0</v>
      </c>
      <c r="H104" s="182">
        <f t="shared" si="33"/>
        <v>0</v>
      </c>
      <c r="I104" s="177"/>
    </row>
    <row r="105" spans="1:9" x14ac:dyDescent="0.2">
      <c r="A105" s="211">
        <v>5600</v>
      </c>
      <c r="B105" s="204">
        <v>2219</v>
      </c>
      <c r="C105" s="87" t="s">
        <v>50</v>
      </c>
      <c r="D105" s="308"/>
      <c r="E105" s="308">
        <v>500</v>
      </c>
      <c r="F105" s="212">
        <v>16</v>
      </c>
      <c r="G105" s="186">
        <f t="shared" si="32"/>
        <v>0</v>
      </c>
      <c r="H105" s="187">
        <f t="shared" si="33"/>
        <v>3.2</v>
      </c>
      <c r="I105" s="177"/>
    </row>
    <row r="106" spans="1:9" x14ac:dyDescent="0.2">
      <c r="A106" s="211">
        <v>5600</v>
      </c>
      <c r="B106" s="204">
        <v>2310</v>
      </c>
      <c r="C106" s="115" t="s">
        <v>68</v>
      </c>
      <c r="D106" s="308">
        <v>100</v>
      </c>
      <c r="E106" s="308">
        <v>100</v>
      </c>
      <c r="F106" s="212"/>
      <c r="G106" s="186">
        <f t="shared" si="32"/>
        <v>0</v>
      </c>
      <c r="H106" s="187">
        <f t="shared" si="33"/>
        <v>0</v>
      </c>
      <c r="I106" s="177"/>
    </row>
    <row r="107" spans="1:9" x14ac:dyDescent="0.2">
      <c r="A107" s="211">
        <v>5600</v>
      </c>
      <c r="B107" s="204">
        <v>2321</v>
      </c>
      <c r="C107" s="115" t="s">
        <v>72</v>
      </c>
      <c r="D107" s="308">
        <v>18400</v>
      </c>
      <c r="E107" s="308">
        <v>18400</v>
      </c>
      <c r="F107" s="212">
        <v>18000</v>
      </c>
      <c r="G107" s="186">
        <f t="shared" si="32"/>
        <v>97.826086956521735</v>
      </c>
      <c r="H107" s="187">
        <f t="shared" si="33"/>
        <v>97.826086956521735</v>
      </c>
    </row>
    <row r="108" spans="1:9" x14ac:dyDescent="0.2">
      <c r="A108" s="211">
        <v>5600</v>
      </c>
      <c r="B108" s="204">
        <v>3319</v>
      </c>
      <c r="C108" s="115" t="s">
        <v>45</v>
      </c>
      <c r="D108" s="308">
        <v>1500</v>
      </c>
      <c r="E108" s="308">
        <v>1500</v>
      </c>
      <c r="F108" s="212">
        <v>1500</v>
      </c>
      <c r="G108" s="186">
        <f t="shared" si="32"/>
        <v>100</v>
      </c>
      <c r="H108" s="187">
        <f t="shared" si="33"/>
        <v>100</v>
      </c>
      <c r="I108" s="330"/>
    </row>
    <row r="109" spans="1:9" x14ac:dyDescent="0.2">
      <c r="A109" s="211">
        <v>5600</v>
      </c>
      <c r="B109" s="204">
        <v>3429</v>
      </c>
      <c r="C109" s="69" t="s">
        <v>55</v>
      </c>
      <c r="D109" s="308"/>
      <c r="E109" s="308">
        <v>40</v>
      </c>
      <c r="F109" s="212">
        <v>36</v>
      </c>
      <c r="G109" s="186">
        <f t="shared" si="32"/>
        <v>0</v>
      </c>
      <c r="H109" s="187">
        <f t="shared" si="33"/>
        <v>90</v>
      </c>
      <c r="I109" s="177"/>
    </row>
    <row r="110" spans="1:9" x14ac:dyDescent="0.2">
      <c r="A110" s="211">
        <v>5600</v>
      </c>
      <c r="B110" s="204">
        <v>3631</v>
      </c>
      <c r="C110" s="115" t="s">
        <v>10</v>
      </c>
      <c r="D110" s="308">
        <v>161189</v>
      </c>
      <c r="E110" s="308">
        <v>182890</v>
      </c>
      <c r="F110" s="212">
        <v>169329</v>
      </c>
      <c r="G110" s="186">
        <f t="shared" si="32"/>
        <v>105.04997239265708</v>
      </c>
      <c r="H110" s="187">
        <f t="shared" si="33"/>
        <v>92.585160478976434</v>
      </c>
      <c r="I110" s="177"/>
    </row>
    <row r="111" spans="1:9" x14ac:dyDescent="0.2">
      <c r="A111" s="211">
        <v>5600</v>
      </c>
      <c r="B111" s="204">
        <v>3633</v>
      </c>
      <c r="C111" s="115" t="s">
        <v>43</v>
      </c>
      <c r="D111" s="308">
        <v>18143</v>
      </c>
      <c r="E111" s="308">
        <v>18143</v>
      </c>
      <c r="F111" s="212">
        <v>17848</v>
      </c>
      <c r="G111" s="186">
        <f t="shared" si="32"/>
        <v>98.374028550956297</v>
      </c>
      <c r="H111" s="187">
        <f t="shared" si="33"/>
        <v>98.374028550956297</v>
      </c>
      <c r="I111" s="177"/>
    </row>
    <row r="112" spans="1:9" x14ac:dyDescent="0.2">
      <c r="A112" s="211">
        <v>5600</v>
      </c>
      <c r="B112" s="179">
        <v>3636</v>
      </c>
      <c r="C112" s="87" t="s">
        <v>158</v>
      </c>
      <c r="D112" s="308">
        <v>2500</v>
      </c>
      <c r="E112" s="308">
        <v>2500</v>
      </c>
      <c r="F112" s="212">
        <v>70</v>
      </c>
      <c r="G112" s="186">
        <f t="shared" si="32"/>
        <v>2.8000000000000003</v>
      </c>
      <c r="H112" s="187">
        <f t="shared" si="33"/>
        <v>2.8000000000000003</v>
      </c>
      <c r="I112" s="331"/>
    </row>
    <row r="113" spans="1:9" x14ac:dyDescent="0.2">
      <c r="A113" s="211">
        <v>5600</v>
      </c>
      <c r="B113" s="179">
        <v>3639</v>
      </c>
      <c r="C113" s="87" t="s">
        <v>39</v>
      </c>
      <c r="D113" s="308">
        <v>12506</v>
      </c>
      <c r="E113" s="308">
        <v>13561</v>
      </c>
      <c r="F113" s="212">
        <v>6603</v>
      </c>
      <c r="G113" s="186">
        <f t="shared" si="32"/>
        <v>52.798656644810492</v>
      </c>
      <c r="H113" s="187">
        <f t="shared" si="33"/>
        <v>48.691099476439788</v>
      </c>
      <c r="I113" s="331"/>
    </row>
    <row r="114" spans="1:9" x14ac:dyDescent="0.2">
      <c r="A114" s="211">
        <v>5600</v>
      </c>
      <c r="B114" s="204">
        <v>3699</v>
      </c>
      <c r="C114" s="115" t="s">
        <v>73</v>
      </c>
      <c r="D114" s="308">
        <v>3300</v>
      </c>
      <c r="E114" s="308">
        <v>3300</v>
      </c>
      <c r="F114" s="212">
        <v>1076</v>
      </c>
      <c r="G114" s="186">
        <f t="shared" si="32"/>
        <v>32.606060606060602</v>
      </c>
      <c r="H114" s="187">
        <f t="shared" si="33"/>
        <v>32.606060606060602</v>
      </c>
      <c r="I114" s="331"/>
    </row>
    <row r="115" spans="1:9" x14ac:dyDescent="0.2">
      <c r="A115" s="211">
        <v>5600</v>
      </c>
      <c r="B115" s="179">
        <v>3745</v>
      </c>
      <c r="C115" s="87" t="s">
        <v>2</v>
      </c>
      <c r="D115" s="308">
        <v>420</v>
      </c>
      <c r="E115" s="308">
        <v>420</v>
      </c>
      <c r="F115" s="212">
        <v>74</v>
      </c>
      <c r="G115" s="186">
        <f t="shared" si="32"/>
        <v>17.61904761904762</v>
      </c>
      <c r="H115" s="187">
        <f t="shared" si="33"/>
        <v>17.61904761904762</v>
      </c>
      <c r="I115" s="177"/>
    </row>
    <row r="116" spans="1:9" x14ac:dyDescent="0.2">
      <c r="A116" s="211">
        <v>5600</v>
      </c>
      <c r="B116" s="204">
        <v>6330</v>
      </c>
      <c r="C116" s="64" t="s">
        <v>260</v>
      </c>
      <c r="D116" s="308"/>
      <c r="E116" s="308">
        <v>101490</v>
      </c>
      <c r="F116" s="212">
        <v>99180</v>
      </c>
      <c r="G116" s="186">
        <f t="shared" si="32"/>
        <v>0</v>
      </c>
      <c r="H116" s="187">
        <f t="shared" si="33"/>
        <v>97.723913686077452</v>
      </c>
      <c r="I116" s="177"/>
    </row>
    <row r="117" spans="1:9" x14ac:dyDescent="0.2">
      <c r="A117" s="178" t="s">
        <v>15</v>
      </c>
      <c r="B117" s="179"/>
      <c r="C117" s="87"/>
      <c r="D117" s="309">
        <f>SUBTOTAL(9,D105:D116)</f>
        <v>218058</v>
      </c>
      <c r="E117" s="309">
        <f>SUBTOTAL(9,E105:E116)</f>
        <v>342844</v>
      </c>
      <c r="F117" s="180">
        <f>SUBTOTAL(9,F105:F116)</f>
        <v>313732</v>
      </c>
      <c r="G117" s="181">
        <f t="shared" si="32"/>
        <v>143.87548266974841</v>
      </c>
      <c r="H117" s="182">
        <f t="shared" si="33"/>
        <v>91.508674499189141</v>
      </c>
      <c r="I117" s="177"/>
    </row>
    <row r="118" spans="1:9" x14ac:dyDescent="0.2">
      <c r="A118" s="178"/>
      <c r="B118" s="179"/>
      <c r="C118" s="87"/>
      <c r="D118" s="309"/>
      <c r="E118" s="309"/>
      <c r="F118" s="180"/>
      <c r="G118" s="181">
        <f t="shared" si="32"/>
        <v>0</v>
      </c>
      <c r="H118" s="182">
        <f t="shared" si="33"/>
        <v>0</v>
      </c>
      <c r="I118" s="177"/>
    </row>
    <row r="119" spans="1:9" x14ac:dyDescent="0.2">
      <c r="A119" s="222" t="s">
        <v>267</v>
      </c>
      <c r="B119" s="204"/>
      <c r="C119" s="115"/>
      <c r="D119" s="309"/>
      <c r="E119" s="309"/>
      <c r="F119" s="180"/>
      <c r="G119" s="181">
        <f>IF(D119&lt;=0,0,$F119/D119*100)</f>
        <v>0</v>
      </c>
      <c r="H119" s="182">
        <f>IF(E119&lt;=0,0,$F119/E119*100)</f>
        <v>0</v>
      </c>
      <c r="I119" s="177"/>
    </row>
    <row r="120" spans="1:9" x14ac:dyDescent="0.2">
      <c r="A120" s="216">
        <v>5900</v>
      </c>
      <c r="B120" s="204">
        <v>2219</v>
      </c>
      <c r="C120" s="87" t="s">
        <v>50</v>
      </c>
      <c r="D120" s="308">
        <v>140</v>
      </c>
      <c r="E120" s="308">
        <v>140</v>
      </c>
      <c r="F120" s="217">
        <v>20</v>
      </c>
      <c r="G120" s="186">
        <f t="shared" ref="G120:G132" si="34">IF(D120&lt;=0,0,$F120/D120*100)</f>
        <v>14.285714285714285</v>
      </c>
      <c r="H120" s="187">
        <f t="shared" ref="H120:H132" si="35">IF(E120&lt;=0,0,$F120/E120*100)</f>
        <v>14.285714285714285</v>
      </c>
      <c r="I120" s="177"/>
    </row>
    <row r="121" spans="1:9" x14ac:dyDescent="0.2">
      <c r="A121" s="216">
        <v>5900</v>
      </c>
      <c r="B121" s="204">
        <v>2229</v>
      </c>
      <c r="C121" s="87" t="s">
        <v>200</v>
      </c>
      <c r="D121" s="308">
        <v>60</v>
      </c>
      <c r="E121" s="308">
        <v>160</v>
      </c>
      <c r="F121" s="217">
        <v>145</v>
      </c>
      <c r="G121" s="186">
        <f t="shared" si="34"/>
        <v>241.66666666666666</v>
      </c>
      <c r="H121" s="187">
        <f t="shared" si="35"/>
        <v>90.625</v>
      </c>
      <c r="I121" s="177"/>
    </row>
    <row r="122" spans="1:9" x14ac:dyDescent="0.2">
      <c r="A122" s="216">
        <v>5900</v>
      </c>
      <c r="B122" s="204">
        <v>3119</v>
      </c>
      <c r="C122" s="69" t="s">
        <v>283</v>
      </c>
      <c r="D122" s="308"/>
      <c r="E122" s="308">
        <v>40</v>
      </c>
      <c r="F122" s="217">
        <v>35</v>
      </c>
      <c r="G122" s="186"/>
      <c r="H122" s="187">
        <f t="shared" si="35"/>
        <v>87.5</v>
      </c>
      <c r="I122" s="177"/>
    </row>
    <row r="123" spans="1:9" x14ac:dyDescent="0.2">
      <c r="A123" s="216">
        <v>5900</v>
      </c>
      <c r="B123" s="204">
        <v>3314</v>
      </c>
      <c r="C123" s="87" t="s">
        <v>86</v>
      </c>
      <c r="D123" s="308"/>
      <c r="E123" s="308">
        <v>3512</v>
      </c>
      <c r="F123" s="217">
        <v>3512</v>
      </c>
      <c r="G123" s="186">
        <f t="shared" si="34"/>
        <v>0</v>
      </c>
      <c r="H123" s="187">
        <f t="shared" si="35"/>
        <v>100</v>
      </c>
    </row>
    <row r="124" spans="1:9" x14ac:dyDescent="0.2">
      <c r="A124" s="216">
        <v>5900</v>
      </c>
      <c r="B124" s="204">
        <v>3319</v>
      </c>
      <c r="C124" s="115" t="s">
        <v>45</v>
      </c>
      <c r="D124" s="308"/>
      <c r="E124" s="308"/>
      <c r="F124" s="217">
        <v>1</v>
      </c>
      <c r="G124" s="186">
        <f t="shared" si="34"/>
        <v>0</v>
      </c>
      <c r="H124" s="187">
        <f t="shared" si="35"/>
        <v>0</v>
      </c>
      <c r="I124" s="331"/>
    </row>
    <row r="125" spans="1:9" x14ac:dyDescent="0.2">
      <c r="A125" s="216">
        <v>5900</v>
      </c>
      <c r="B125" s="204">
        <v>3421</v>
      </c>
      <c r="C125" s="69" t="s">
        <v>90</v>
      </c>
      <c r="D125" s="308">
        <v>40</v>
      </c>
      <c r="E125" s="308">
        <v>40</v>
      </c>
      <c r="F125" s="217">
        <v>12</v>
      </c>
      <c r="G125" s="186">
        <f t="shared" si="34"/>
        <v>30</v>
      </c>
      <c r="H125" s="187">
        <f t="shared" si="35"/>
        <v>30</v>
      </c>
      <c r="I125" s="177"/>
    </row>
    <row r="126" spans="1:9" x14ac:dyDescent="0.2">
      <c r="A126" s="216">
        <v>5900</v>
      </c>
      <c r="B126" s="204">
        <v>3636</v>
      </c>
      <c r="C126" s="87" t="s">
        <v>158</v>
      </c>
      <c r="D126" s="308">
        <v>1812</v>
      </c>
      <c r="E126" s="308">
        <v>2342</v>
      </c>
      <c r="F126" s="217">
        <v>786</v>
      </c>
      <c r="G126" s="186">
        <f t="shared" si="34"/>
        <v>43.377483443708606</v>
      </c>
      <c r="H126" s="187">
        <f t="shared" si="35"/>
        <v>33.561058923996583</v>
      </c>
      <c r="I126" s="331"/>
    </row>
    <row r="127" spans="1:9" x14ac:dyDescent="0.2">
      <c r="A127" s="216">
        <v>5900</v>
      </c>
      <c r="B127" s="204">
        <v>3639</v>
      </c>
      <c r="C127" s="87" t="s">
        <v>39</v>
      </c>
      <c r="D127" s="308">
        <v>46582</v>
      </c>
      <c r="E127" s="308">
        <v>5332</v>
      </c>
      <c r="F127" s="217">
        <v>997</v>
      </c>
      <c r="G127" s="186">
        <f t="shared" si="34"/>
        <v>2.1403117083852132</v>
      </c>
      <c r="H127" s="187">
        <f t="shared" si="35"/>
        <v>18.698424606151537</v>
      </c>
      <c r="I127" s="331"/>
    </row>
    <row r="128" spans="1:9" x14ac:dyDescent="0.2">
      <c r="A128" s="216">
        <v>5900</v>
      </c>
      <c r="B128" s="204">
        <v>3745</v>
      </c>
      <c r="C128" s="87" t="s">
        <v>2</v>
      </c>
      <c r="D128" s="308">
        <v>200</v>
      </c>
      <c r="E128" s="308">
        <v>1354</v>
      </c>
      <c r="F128" s="217">
        <v>764</v>
      </c>
      <c r="G128" s="186">
        <f t="shared" si="34"/>
        <v>382</v>
      </c>
      <c r="H128" s="187">
        <f t="shared" si="35"/>
        <v>56.425406203840481</v>
      </c>
    </row>
    <row r="129" spans="1:9" x14ac:dyDescent="0.2">
      <c r="A129" s="216">
        <v>5900</v>
      </c>
      <c r="B129" s="204">
        <v>4341</v>
      </c>
      <c r="C129" s="105" t="s">
        <v>76</v>
      </c>
      <c r="D129" s="308"/>
      <c r="E129" s="308">
        <v>2022</v>
      </c>
      <c r="F129" s="217">
        <v>2022</v>
      </c>
      <c r="G129" s="186"/>
      <c r="H129" s="187">
        <f t="shared" si="35"/>
        <v>100</v>
      </c>
    </row>
    <row r="130" spans="1:9" x14ac:dyDescent="0.2">
      <c r="A130" s="216">
        <v>5900</v>
      </c>
      <c r="B130" s="204">
        <v>5311</v>
      </c>
      <c r="C130" s="115" t="s">
        <v>31</v>
      </c>
      <c r="D130" s="308"/>
      <c r="E130" s="308">
        <v>235</v>
      </c>
      <c r="F130" s="217">
        <v>218</v>
      </c>
      <c r="G130" s="186">
        <f t="shared" si="34"/>
        <v>0</v>
      </c>
      <c r="H130" s="187">
        <f t="shared" si="35"/>
        <v>92.765957446808514</v>
      </c>
    </row>
    <row r="131" spans="1:9" x14ac:dyDescent="0.2">
      <c r="A131" s="216">
        <v>5900</v>
      </c>
      <c r="B131" s="204">
        <v>6171</v>
      </c>
      <c r="C131" s="115" t="s">
        <v>9</v>
      </c>
      <c r="D131" s="308"/>
      <c r="E131" s="308">
        <v>41</v>
      </c>
      <c r="F131" s="217">
        <v>40</v>
      </c>
      <c r="G131" s="186">
        <f t="shared" si="34"/>
        <v>0</v>
      </c>
      <c r="H131" s="187">
        <f t="shared" si="35"/>
        <v>97.560975609756099</v>
      </c>
      <c r="I131" s="330"/>
    </row>
    <row r="132" spans="1:9" x14ac:dyDescent="0.2">
      <c r="A132" s="216">
        <v>5900</v>
      </c>
      <c r="B132" s="204">
        <v>6330</v>
      </c>
      <c r="C132" s="64" t="s">
        <v>260</v>
      </c>
      <c r="D132" s="308"/>
      <c r="E132" s="308">
        <v>13723</v>
      </c>
      <c r="F132" s="217">
        <v>13723</v>
      </c>
      <c r="G132" s="186">
        <f t="shared" si="34"/>
        <v>0</v>
      </c>
      <c r="H132" s="187">
        <f t="shared" si="35"/>
        <v>100</v>
      </c>
    </row>
    <row r="133" spans="1:9" x14ac:dyDescent="0.2">
      <c r="A133" s="203" t="s">
        <v>268</v>
      </c>
      <c r="B133" s="204"/>
      <c r="C133" s="115"/>
      <c r="D133" s="309">
        <f>SUBTOTAL(9,D120:D132)</f>
        <v>48834</v>
      </c>
      <c r="E133" s="309">
        <f>SUBTOTAL(9,E120:E132)</f>
        <v>28941</v>
      </c>
      <c r="F133" s="180">
        <f>SUBTOTAL(9,F120:F132)</f>
        <v>22275</v>
      </c>
      <c r="G133" s="181">
        <f>IF(D133&lt;=0,0,$F133/D133*100)</f>
        <v>45.613711758201255</v>
      </c>
      <c r="H133" s="182">
        <f>IF(E133&lt;=0,0,$F133/E133*100)</f>
        <v>76.966932725199541</v>
      </c>
    </row>
    <row r="134" spans="1:9" x14ac:dyDescent="0.2">
      <c r="A134" s="178"/>
      <c r="B134" s="179"/>
      <c r="C134" s="87"/>
      <c r="D134" s="309"/>
      <c r="E134" s="309"/>
      <c r="F134" s="180"/>
      <c r="G134" s="181"/>
      <c r="H134" s="182"/>
      <c r="I134" s="177"/>
    </row>
    <row r="135" spans="1:9" x14ac:dyDescent="0.2">
      <c r="A135" s="203" t="s">
        <v>202</v>
      </c>
      <c r="B135" s="204"/>
      <c r="C135" s="115"/>
      <c r="D135" s="309"/>
      <c r="E135" s="309"/>
      <c r="F135" s="180"/>
      <c r="G135" s="181">
        <f t="shared" si="32"/>
        <v>0</v>
      </c>
      <c r="H135" s="182">
        <f t="shared" si="33"/>
        <v>0</v>
      </c>
      <c r="I135" s="177"/>
    </row>
    <row r="136" spans="1:9" x14ac:dyDescent="0.2">
      <c r="A136" s="216">
        <v>6200</v>
      </c>
      <c r="B136" s="204">
        <v>3612</v>
      </c>
      <c r="C136" s="89" t="s">
        <v>11</v>
      </c>
      <c r="D136" s="308">
        <v>483020</v>
      </c>
      <c r="E136" s="308">
        <v>270360</v>
      </c>
      <c r="F136" s="217">
        <v>135748</v>
      </c>
      <c r="G136" s="186">
        <f t="shared" si="32"/>
        <v>28.104012256221271</v>
      </c>
      <c r="H136" s="187">
        <f t="shared" si="33"/>
        <v>50.210090250036984</v>
      </c>
      <c r="I136" s="331"/>
    </row>
    <row r="137" spans="1:9" x14ac:dyDescent="0.2">
      <c r="A137" s="216">
        <v>6200</v>
      </c>
      <c r="B137" s="204">
        <v>3619</v>
      </c>
      <c r="C137" s="89" t="s">
        <v>255</v>
      </c>
      <c r="D137" s="308">
        <v>40650</v>
      </c>
      <c r="E137" s="308">
        <v>34080</v>
      </c>
      <c r="F137" s="217">
        <v>8239</v>
      </c>
      <c r="G137" s="186">
        <f t="shared" si="32"/>
        <v>20.268142681426816</v>
      </c>
      <c r="H137" s="187">
        <f t="shared" si="33"/>
        <v>24.175469483568072</v>
      </c>
      <c r="I137" s="331"/>
    </row>
    <row r="138" spans="1:9" x14ac:dyDescent="0.2">
      <c r="A138" s="216">
        <v>6200</v>
      </c>
      <c r="B138" s="204">
        <v>4341</v>
      </c>
      <c r="C138" s="87" t="s">
        <v>203</v>
      </c>
      <c r="D138" s="308"/>
      <c r="E138" s="308">
        <v>1406</v>
      </c>
      <c r="F138" s="217">
        <v>56</v>
      </c>
      <c r="G138" s="186">
        <f t="shared" si="32"/>
        <v>0</v>
      </c>
      <c r="H138" s="187">
        <f t="shared" si="33"/>
        <v>3.9829302987197721</v>
      </c>
      <c r="I138" s="177"/>
    </row>
    <row r="139" spans="1:9" x14ac:dyDescent="0.2">
      <c r="A139" s="216">
        <v>6200</v>
      </c>
      <c r="B139" s="204">
        <v>6330</v>
      </c>
      <c r="C139" s="64" t="s">
        <v>260</v>
      </c>
      <c r="D139" s="308">
        <v>32050</v>
      </c>
      <c r="E139" s="308">
        <v>229672</v>
      </c>
      <c r="F139" s="217">
        <v>211767</v>
      </c>
      <c r="G139" s="186">
        <f t="shared" si="32"/>
        <v>660.73946957878309</v>
      </c>
      <c r="H139" s="187">
        <f t="shared" si="33"/>
        <v>92.204099759657254</v>
      </c>
    </row>
    <row r="140" spans="1:9" x14ac:dyDescent="0.2">
      <c r="A140" s="216">
        <v>6200</v>
      </c>
      <c r="B140" s="204">
        <v>6409</v>
      </c>
      <c r="C140" s="64" t="s">
        <v>287</v>
      </c>
      <c r="D140" s="308"/>
      <c r="E140" s="308"/>
      <c r="F140" s="217">
        <v>-2175</v>
      </c>
      <c r="G140" s="186">
        <f t="shared" si="32"/>
        <v>0</v>
      </c>
      <c r="H140" s="187">
        <f t="shared" si="33"/>
        <v>0</v>
      </c>
      <c r="I140" s="331"/>
    </row>
    <row r="141" spans="1:9" x14ac:dyDescent="0.2">
      <c r="A141" s="203" t="s">
        <v>75</v>
      </c>
      <c r="B141" s="204"/>
      <c r="C141" s="115"/>
      <c r="D141" s="309">
        <f>SUBTOTAL(9,D136:D140)</f>
        <v>555720</v>
      </c>
      <c r="E141" s="309">
        <f>SUBTOTAL(9,E136:E140)</f>
        <v>535518</v>
      </c>
      <c r="F141" s="180">
        <f>SUBTOTAL(9,F136:F140)</f>
        <v>353635</v>
      </c>
      <c r="G141" s="181">
        <f t="shared" si="32"/>
        <v>63.635463902684805</v>
      </c>
      <c r="H141" s="182">
        <f t="shared" si="33"/>
        <v>66.036062279886025</v>
      </c>
      <c r="I141" s="177"/>
    </row>
    <row r="142" spans="1:9" x14ac:dyDescent="0.2">
      <c r="A142" s="203"/>
      <c r="B142" s="204"/>
      <c r="C142" s="115"/>
      <c r="D142" s="309"/>
      <c r="E142" s="309"/>
      <c r="F142" s="180"/>
      <c r="G142" s="181">
        <f t="shared" si="32"/>
        <v>0</v>
      </c>
      <c r="H142" s="182">
        <f t="shared" si="33"/>
        <v>0</v>
      </c>
      <c r="I142" s="177"/>
    </row>
    <row r="143" spans="1:9" x14ac:dyDescent="0.2">
      <c r="A143" s="203" t="s">
        <v>189</v>
      </c>
      <c r="B143" s="204"/>
      <c r="C143" s="115"/>
      <c r="D143" s="309"/>
      <c r="E143" s="309"/>
      <c r="F143" s="180"/>
      <c r="G143" s="181">
        <f t="shared" si="32"/>
        <v>0</v>
      </c>
      <c r="H143" s="182">
        <f t="shared" si="33"/>
        <v>0</v>
      </c>
      <c r="I143" s="177"/>
    </row>
    <row r="144" spans="1:9" x14ac:dyDescent="0.2">
      <c r="A144" s="216">
        <v>6300</v>
      </c>
      <c r="B144" s="204" t="s">
        <v>74</v>
      </c>
      <c r="C144" s="87" t="s">
        <v>39</v>
      </c>
      <c r="D144" s="308">
        <v>27068</v>
      </c>
      <c r="E144" s="308">
        <v>27068</v>
      </c>
      <c r="F144" s="217">
        <v>19406</v>
      </c>
      <c r="G144" s="218">
        <f t="shared" si="32"/>
        <v>71.693512634845575</v>
      </c>
      <c r="H144" s="219">
        <f t="shared" si="33"/>
        <v>71.693512634845575</v>
      </c>
    </row>
    <row r="145" spans="1:9" x14ac:dyDescent="0.2">
      <c r="A145" s="203" t="s">
        <v>190</v>
      </c>
      <c r="B145" s="204"/>
      <c r="C145" s="115"/>
      <c r="D145" s="309">
        <f>SUBTOTAL(9,D144:D144)</f>
        <v>27068</v>
      </c>
      <c r="E145" s="309">
        <f>SUBTOTAL(9,E144:E144)</f>
        <v>27068</v>
      </c>
      <c r="F145" s="180">
        <f>SUBTOTAL(9,F144:F144)</f>
        <v>19406</v>
      </c>
      <c r="G145" s="181">
        <f t="shared" si="32"/>
        <v>71.693512634845575</v>
      </c>
      <c r="H145" s="182">
        <f t="shared" si="33"/>
        <v>71.693512634845575</v>
      </c>
      <c r="I145" s="177"/>
    </row>
    <row r="146" spans="1:9" x14ac:dyDescent="0.2">
      <c r="A146" s="203"/>
      <c r="B146" s="204"/>
      <c r="C146" s="115"/>
      <c r="D146" s="309"/>
      <c r="E146" s="309"/>
      <c r="F146" s="180"/>
      <c r="G146" s="181">
        <f t="shared" si="32"/>
        <v>0</v>
      </c>
      <c r="H146" s="182">
        <f t="shared" si="33"/>
        <v>0</v>
      </c>
      <c r="I146" s="177"/>
    </row>
    <row r="147" spans="1:9" x14ac:dyDescent="0.2">
      <c r="A147" s="223" t="s">
        <v>204</v>
      </c>
      <c r="B147" s="215"/>
      <c r="C147" s="89"/>
      <c r="D147" s="309"/>
      <c r="E147" s="309"/>
      <c r="F147" s="180"/>
      <c r="G147" s="181">
        <f t="shared" si="32"/>
        <v>0</v>
      </c>
      <c r="H147" s="182">
        <f t="shared" si="33"/>
        <v>0</v>
      </c>
      <c r="I147" s="177"/>
    </row>
    <row r="148" spans="1:9" x14ac:dyDescent="0.2">
      <c r="A148" s="224">
        <v>6600</v>
      </c>
      <c r="B148" s="215">
        <v>2333</v>
      </c>
      <c r="C148" s="89" t="s">
        <v>21</v>
      </c>
      <c r="D148" s="307">
        <v>500</v>
      </c>
      <c r="E148" s="307">
        <v>500</v>
      </c>
      <c r="F148" s="185"/>
      <c r="G148" s="186">
        <f t="shared" si="32"/>
        <v>0</v>
      </c>
      <c r="H148" s="187">
        <f t="shared" si="33"/>
        <v>0</v>
      </c>
      <c r="I148" s="177"/>
    </row>
    <row r="149" spans="1:9" x14ac:dyDescent="0.2">
      <c r="A149" s="224">
        <v>6600</v>
      </c>
      <c r="B149" s="215">
        <v>3322</v>
      </c>
      <c r="C149" s="89" t="s">
        <v>26</v>
      </c>
      <c r="D149" s="307">
        <v>500</v>
      </c>
      <c r="E149" s="307">
        <v>500</v>
      </c>
      <c r="F149" s="185">
        <v>14</v>
      </c>
      <c r="G149" s="186">
        <f t="shared" si="32"/>
        <v>2.8000000000000003</v>
      </c>
      <c r="H149" s="187">
        <f t="shared" si="33"/>
        <v>2.8000000000000003</v>
      </c>
      <c r="I149" s="177"/>
    </row>
    <row r="150" spans="1:9" x14ac:dyDescent="0.2">
      <c r="A150" s="224">
        <v>6600</v>
      </c>
      <c r="B150" s="204">
        <v>3612</v>
      </c>
      <c r="C150" s="89" t="s">
        <v>11</v>
      </c>
      <c r="D150" s="307">
        <v>38010</v>
      </c>
      <c r="E150" s="307">
        <v>42010</v>
      </c>
      <c r="F150" s="185">
        <v>35578</v>
      </c>
      <c r="G150" s="186">
        <f t="shared" si="32"/>
        <v>93.60168376742962</v>
      </c>
      <c r="H150" s="187">
        <f t="shared" si="33"/>
        <v>84.689359676267557</v>
      </c>
      <c r="I150" s="177"/>
    </row>
    <row r="151" spans="1:9" x14ac:dyDescent="0.2">
      <c r="A151" s="216">
        <v>6600</v>
      </c>
      <c r="B151" s="204">
        <v>3639</v>
      </c>
      <c r="C151" s="87" t="s">
        <v>39</v>
      </c>
      <c r="D151" s="308">
        <v>67981</v>
      </c>
      <c r="E151" s="308">
        <v>75108</v>
      </c>
      <c r="F151" s="217">
        <v>66822</v>
      </c>
      <c r="G151" s="186">
        <f t="shared" si="32"/>
        <v>98.295111869492942</v>
      </c>
      <c r="H151" s="187">
        <f t="shared" si="33"/>
        <v>88.96788624380892</v>
      </c>
      <c r="I151" s="177"/>
    </row>
    <row r="152" spans="1:9" x14ac:dyDescent="0.2">
      <c r="A152" s="216">
        <v>6600</v>
      </c>
      <c r="B152" s="204">
        <v>4341</v>
      </c>
      <c r="C152" s="105" t="s">
        <v>76</v>
      </c>
      <c r="D152" s="308">
        <v>3273</v>
      </c>
      <c r="E152" s="308">
        <v>4102</v>
      </c>
      <c r="F152" s="217">
        <v>2335</v>
      </c>
      <c r="G152" s="186">
        <f t="shared" si="32"/>
        <v>71.341277115795904</v>
      </c>
      <c r="H152" s="187">
        <f t="shared" si="33"/>
        <v>56.923451974646511</v>
      </c>
      <c r="I152" s="331"/>
    </row>
    <row r="153" spans="1:9" x14ac:dyDescent="0.2">
      <c r="A153" s="216">
        <v>6600</v>
      </c>
      <c r="B153" s="204">
        <v>4399</v>
      </c>
      <c r="C153" s="87" t="s">
        <v>246</v>
      </c>
      <c r="D153" s="308"/>
      <c r="E153" s="308">
        <v>74</v>
      </c>
      <c r="F153" s="217">
        <v>74</v>
      </c>
      <c r="G153" s="186">
        <f t="shared" si="32"/>
        <v>0</v>
      </c>
      <c r="H153" s="187">
        <f t="shared" si="33"/>
        <v>100</v>
      </c>
      <c r="I153" s="177"/>
    </row>
    <row r="154" spans="1:9" x14ac:dyDescent="0.2">
      <c r="A154" s="216">
        <v>6600</v>
      </c>
      <c r="B154" s="204">
        <v>6171</v>
      </c>
      <c r="C154" s="115" t="s">
        <v>9</v>
      </c>
      <c r="D154" s="308">
        <v>72884</v>
      </c>
      <c r="E154" s="308">
        <v>69730</v>
      </c>
      <c r="F154" s="217">
        <v>61463</v>
      </c>
      <c r="G154" s="186">
        <f t="shared" si="32"/>
        <v>84.329894078261347</v>
      </c>
      <c r="H154" s="187">
        <f t="shared" si="33"/>
        <v>88.144270758640474</v>
      </c>
    </row>
    <row r="155" spans="1:9" x14ac:dyDescent="0.2">
      <c r="A155" s="216">
        <v>6600</v>
      </c>
      <c r="B155" s="204">
        <v>6211</v>
      </c>
      <c r="C155" s="115" t="s">
        <v>53</v>
      </c>
      <c r="D155" s="308">
        <v>4129</v>
      </c>
      <c r="E155" s="308">
        <v>4129</v>
      </c>
      <c r="F155" s="217">
        <v>3377</v>
      </c>
      <c r="G155" s="186">
        <f t="shared" si="32"/>
        <v>81.787357713732135</v>
      </c>
      <c r="H155" s="187">
        <f t="shared" si="33"/>
        <v>81.787357713732135</v>
      </c>
    </row>
    <row r="156" spans="1:9" x14ac:dyDescent="0.2">
      <c r="A156" s="216">
        <v>6600</v>
      </c>
      <c r="B156" s="204">
        <v>6399</v>
      </c>
      <c r="C156" s="115" t="s">
        <v>77</v>
      </c>
      <c r="D156" s="308"/>
      <c r="E156" s="308"/>
      <c r="F156" s="217">
        <v>-6</v>
      </c>
      <c r="G156" s="186">
        <f t="shared" si="32"/>
        <v>0</v>
      </c>
      <c r="H156" s="187">
        <f t="shared" si="33"/>
        <v>0</v>
      </c>
      <c r="I156" s="331"/>
    </row>
    <row r="157" spans="1:9" x14ac:dyDescent="0.2">
      <c r="A157" s="203" t="s">
        <v>78</v>
      </c>
      <c r="B157" s="204"/>
      <c r="C157" s="115"/>
      <c r="D157" s="309">
        <f>SUBTOTAL(9,D148:D156)</f>
        <v>187277</v>
      </c>
      <c r="E157" s="309">
        <f>SUBTOTAL(9,E148:E156)</f>
        <v>196153</v>
      </c>
      <c r="F157" s="180">
        <f>SUBTOTAL(9,F148:F156)</f>
        <v>169657</v>
      </c>
      <c r="G157" s="181">
        <f t="shared" si="32"/>
        <v>90.591476796403185</v>
      </c>
      <c r="H157" s="182">
        <f t="shared" si="33"/>
        <v>86.492177025077368</v>
      </c>
    </row>
    <row r="158" spans="1:9" x14ac:dyDescent="0.2">
      <c r="A158" s="203"/>
      <c r="B158" s="204"/>
      <c r="C158" s="115"/>
      <c r="D158" s="309"/>
      <c r="E158" s="309"/>
      <c r="F158" s="180"/>
      <c r="G158" s="181">
        <f t="shared" si="32"/>
        <v>0</v>
      </c>
      <c r="H158" s="182">
        <f t="shared" si="33"/>
        <v>0</v>
      </c>
    </row>
    <row r="159" spans="1:9" x14ac:dyDescent="0.2">
      <c r="A159" s="203" t="s">
        <v>38</v>
      </c>
      <c r="B159" s="204"/>
      <c r="C159" s="115"/>
      <c r="D159" s="309"/>
      <c r="E159" s="309"/>
      <c r="F159" s="180"/>
      <c r="G159" s="181">
        <f t="shared" ref="G159:G170" si="36">IF(D159&lt;=0,0,$F159/D159*100)</f>
        <v>0</v>
      </c>
      <c r="H159" s="182">
        <f t="shared" si="33"/>
        <v>0</v>
      </c>
    </row>
    <row r="160" spans="1:9" x14ac:dyDescent="0.2">
      <c r="A160" s="183">
        <v>6700</v>
      </c>
      <c r="B160" s="204">
        <v>3111</v>
      </c>
      <c r="C160" s="115" t="s">
        <v>91</v>
      </c>
      <c r="D160" s="307">
        <v>3566</v>
      </c>
      <c r="E160" s="307">
        <v>3151</v>
      </c>
      <c r="F160" s="185">
        <v>3148</v>
      </c>
      <c r="G160" s="186">
        <f t="shared" si="36"/>
        <v>88.278182837913633</v>
      </c>
      <c r="H160" s="187">
        <f t="shared" si="33"/>
        <v>99.904792129482701</v>
      </c>
    </row>
    <row r="161" spans="1:9" x14ac:dyDescent="0.2">
      <c r="A161" s="183">
        <v>6700</v>
      </c>
      <c r="B161" s="184">
        <v>3113</v>
      </c>
      <c r="C161" s="69" t="s">
        <v>22</v>
      </c>
      <c r="D161" s="307">
        <v>37887</v>
      </c>
      <c r="E161" s="307">
        <v>45563</v>
      </c>
      <c r="F161" s="185">
        <v>44969</v>
      </c>
      <c r="G161" s="186">
        <f t="shared" si="36"/>
        <v>118.69242748172198</v>
      </c>
      <c r="H161" s="187">
        <f t="shared" si="33"/>
        <v>98.696310602901477</v>
      </c>
    </row>
    <row r="162" spans="1:9" x14ac:dyDescent="0.2">
      <c r="A162" s="183">
        <v>6700</v>
      </c>
      <c r="B162" s="184">
        <v>3117</v>
      </c>
      <c r="C162" s="69" t="s">
        <v>232</v>
      </c>
      <c r="D162" s="307">
        <v>428</v>
      </c>
      <c r="E162" s="307">
        <v>698</v>
      </c>
      <c r="F162" s="185">
        <v>698</v>
      </c>
      <c r="G162" s="186">
        <f t="shared" si="36"/>
        <v>163.0841121495327</v>
      </c>
      <c r="H162" s="187">
        <f t="shared" si="33"/>
        <v>100</v>
      </c>
      <c r="I162" s="177"/>
    </row>
    <row r="163" spans="1:9" x14ac:dyDescent="0.2">
      <c r="A163" s="183">
        <v>6700</v>
      </c>
      <c r="B163" s="184">
        <v>3119</v>
      </c>
      <c r="C163" s="69" t="s">
        <v>283</v>
      </c>
      <c r="D163" s="307"/>
      <c r="E163" s="307">
        <v>335</v>
      </c>
      <c r="F163" s="185">
        <v>201</v>
      </c>
      <c r="G163" s="186">
        <f t="shared" si="36"/>
        <v>0</v>
      </c>
      <c r="H163" s="187">
        <f t="shared" si="33"/>
        <v>60</v>
      </c>
      <c r="I163" s="177"/>
    </row>
    <row r="164" spans="1:9" x14ac:dyDescent="0.2">
      <c r="A164" s="183">
        <v>6700</v>
      </c>
      <c r="B164" s="184">
        <v>3141</v>
      </c>
      <c r="C164" s="69" t="s">
        <v>156</v>
      </c>
      <c r="D164" s="307">
        <v>2000</v>
      </c>
      <c r="E164" s="307">
        <v>120</v>
      </c>
      <c r="F164" s="185">
        <v>34</v>
      </c>
      <c r="G164" s="186">
        <f t="shared" si="36"/>
        <v>1.7000000000000002</v>
      </c>
      <c r="H164" s="187">
        <f t="shared" si="33"/>
        <v>28.333333333333332</v>
      </c>
      <c r="I164" s="177"/>
    </row>
    <row r="165" spans="1:9" x14ac:dyDescent="0.2">
      <c r="A165" s="183">
        <v>6700</v>
      </c>
      <c r="B165" s="184">
        <v>3149</v>
      </c>
      <c r="C165" s="69" t="s">
        <v>89</v>
      </c>
      <c r="D165" s="307">
        <v>1270</v>
      </c>
      <c r="E165" s="307">
        <v>770</v>
      </c>
      <c r="F165" s="185">
        <v>645</v>
      </c>
      <c r="G165" s="186">
        <f t="shared" si="36"/>
        <v>50.787401574803148</v>
      </c>
      <c r="H165" s="187">
        <f t="shared" si="33"/>
        <v>83.766233766233768</v>
      </c>
      <c r="I165" s="177"/>
    </row>
    <row r="166" spans="1:9" x14ac:dyDescent="0.2">
      <c r="A166" s="183">
        <v>6700</v>
      </c>
      <c r="B166" s="184">
        <v>3419</v>
      </c>
      <c r="C166" s="69" t="s">
        <v>46</v>
      </c>
      <c r="D166" s="307">
        <v>228711</v>
      </c>
      <c r="E166" s="307">
        <v>241224</v>
      </c>
      <c r="F166" s="185">
        <v>240970</v>
      </c>
      <c r="G166" s="186">
        <f t="shared" si="36"/>
        <v>105.36003952586452</v>
      </c>
      <c r="H166" s="187">
        <f t="shared" si="33"/>
        <v>99.89470367790932</v>
      </c>
    </row>
    <row r="167" spans="1:9" x14ac:dyDescent="0.2">
      <c r="A167" s="183">
        <v>6700</v>
      </c>
      <c r="B167" s="184">
        <v>3421</v>
      </c>
      <c r="C167" s="69" t="s">
        <v>90</v>
      </c>
      <c r="D167" s="307">
        <v>12900</v>
      </c>
      <c r="E167" s="307">
        <v>11634</v>
      </c>
      <c r="F167" s="185">
        <v>11534</v>
      </c>
      <c r="G167" s="186">
        <f t="shared" si="36"/>
        <v>89.410852713178286</v>
      </c>
      <c r="H167" s="187">
        <f t="shared" si="33"/>
        <v>99.140450403988311</v>
      </c>
    </row>
    <row r="168" spans="1:9" x14ac:dyDescent="0.2">
      <c r="A168" s="183">
        <v>6700</v>
      </c>
      <c r="B168" s="184">
        <v>6330</v>
      </c>
      <c r="C168" s="64" t="s">
        <v>260</v>
      </c>
      <c r="D168" s="307"/>
      <c r="E168" s="307">
        <v>178662</v>
      </c>
      <c r="F168" s="185">
        <v>176170</v>
      </c>
      <c r="G168" s="186">
        <f t="shared" si="36"/>
        <v>0</v>
      </c>
      <c r="H168" s="187">
        <f t="shared" si="33"/>
        <v>98.605187448925903</v>
      </c>
    </row>
    <row r="169" spans="1:9" x14ac:dyDescent="0.2">
      <c r="A169" s="183">
        <v>6700</v>
      </c>
      <c r="B169" s="204">
        <v>6402</v>
      </c>
      <c r="C169" s="64" t="s">
        <v>92</v>
      </c>
      <c r="D169" s="307">
        <v>0</v>
      </c>
      <c r="E169" s="307">
        <v>11</v>
      </c>
      <c r="F169" s="185">
        <v>11</v>
      </c>
      <c r="G169" s="186">
        <f t="shared" si="36"/>
        <v>0</v>
      </c>
      <c r="H169" s="187">
        <f t="shared" si="33"/>
        <v>100</v>
      </c>
    </row>
    <row r="170" spans="1:9" x14ac:dyDescent="0.2">
      <c r="A170" s="225" t="s">
        <v>254</v>
      </c>
      <c r="B170" s="226"/>
      <c r="C170" s="69"/>
      <c r="D170" s="309">
        <f>SUBTOTAL(9,D160:D169)</f>
        <v>286762</v>
      </c>
      <c r="E170" s="309">
        <f>SUBTOTAL(9,E160:E169)</f>
        <v>482168</v>
      </c>
      <c r="F170" s="180">
        <f>SUBTOTAL(9,F160:F169)</f>
        <v>478380</v>
      </c>
      <c r="G170" s="181">
        <f t="shared" si="36"/>
        <v>166.82126641605234</v>
      </c>
      <c r="H170" s="182">
        <f t="shared" si="33"/>
        <v>99.214381709279749</v>
      </c>
      <c r="I170" s="177"/>
    </row>
    <row r="171" spans="1:9" x14ac:dyDescent="0.2">
      <c r="A171" s="203"/>
      <c r="B171" s="204"/>
      <c r="C171" s="115"/>
      <c r="D171" s="309"/>
      <c r="E171" s="309"/>
      <c r="F171" s="180"/>
      <c r="G171" s="181"/>
      <c r="H171" s="182"/>
      <c r="I171" s="177"/>
    </row>
    <row r="172" spans="1:9" x14ac:dyDescent="0.2">
      <c r="A172" s="178" t="s">
        <v>179</v>
      </c>
      <c r="B172" s="204"/>
      <c r="C172" s="115"/>
      <c r="D172" s="309"/>
      <c r="E172" s="309"/>
      <c r="F172" s="180"/>
      <c r="G172" s="181">
        <f t="shared" si="32"/>
        <v>0</v>
      </c>
      <c r="H172" s="182">
        <f t="shared" si="33"/>
        <v>0</v>
      </c>
      <c r="I172" s="177"/>
    </row>
    <row r="173" spans="1:9" x14ac:dyDescent="0.2">
      <c r="A173" s="224">
        <v>7100</v>
      </c>
      <c r="B173" s="215">
        <v>3511</v>
      </c>
      <c r="C173" s="89" t="s">
        <v>12</v>
      </c>
      <c r="D173" s="308">
        <v>13253</v>
      </c>
      <c r="E173" s="308">
        <v>14462</v>
      </c>
      <c r="F173" s="227">
        <v>14462</v>
      </c>
      <c r="G173" s="186">
        <f t="shared" si="32"/>
        <v>109.12246283860259</v>
      </c>
      <c r="H173" s="187">
        <f t="shared" si="33"/>
        <v>100</v>
      </c>
      <c r="I173" s="177"/>
    </row>
    <row r="174" spans="1:9" x14ac:dyDescent="0.2">
      <c r="A174" s="224">
        <v>7100</v>
      </c>
      <c r="B174" s="215">
        <v>3522</v>
      </c>
      <c r="C174" s="89" t="s">
        <v>193</v>
      </c>
      <c r="D174" s="308">
        <v>49639</v>
      </c>
      <c r="E174" s="308">
        <v>141978</v>
      </c>
      <c r="F174" s="227">
        <v>141978</v>
      </c>
      <c r="G174" s="186">
        <f t="shared" si="32"/>
        <v>286.02107214085697</v>
      </c>
      <c r="H174" s="187">
        <f t="shared" si="33"/>
        <v>100</v>
      </c>
    </row>
    <row r="175" spans="1:9" x14ac:dyDescent="0.2">
      <c r="A175" s="224">
        <v>7100</v>
      </c>
      <c r="B175" s="215">
        <v>3523</v>
      </c>
      <c r="C175" s="89" t="s">
        <v>80</v>
      </c>
      <c r="D175" s="308">
        <v>11942</v>
      </c>
      <c r="E175" s="308">
        <v>11942</v>
      </c>
      <c r="F175" s="227">
        <v>11942</v>
      </c>
      <c r="G175" s="186">
        <f t="shared" si="32"/>
        <v>100</v>
      </c>
      <c r="H175" s="187">
        <f t="shared" si="33"/>
        <v>100</v>
      </c>
      <c r="I175" s="177"/>
    </row>
    <row r="176" spans="1:9" x14ac:dyDescent="0.2">
      <c r="A176" s="224">
        <v>7100</v>
      </c>
      <c r="B176" s="215">
        <v>3529</v>
      </c>
      <c r="C176" s="89" t="s">
        <v>44</v>
      </c>
      <c r="D176" s="308">
        <v>42004</v>
      </c>
      <c r="E176" s="308">
        <v>42301</v>
      </c>
      <c r="F176" s="227">
        <v>42301</v>
      </c>
      <c r="G176" s="186">
        <f t="shared" si="32"/>
        <v>100.70707551661746</v>
      </c>
      <c r="H176" s="187">
        <f t="shared" si="33"/>
        <v>100</v>
      </c>
      <c r="I176" s="177"/>
    </row>
    <row r="177" spans="1:9" x14ac:dyDescent="0.2">
      <c r="A177" s="224">
        <v>7100</v>
      </c>
      <c r="B177" s="215">
        <v>3599</v>
      </c>
      <c r="C177" s="89" t="s">
        <v>82</v>
      </c>
      <c r="D177" s="316">
        <v>10718</v>
      </c>
      <c r="E177" s="316">
        <v>12526</v>
      </c>
      <c r="F177" s="228">
        <v>11780</v>
      </c>
      <c r="G177" s="186">
        <f t="shared" si="32"/>
        <v>109.90856503078932</v>
      </c>
      <c r="H177" s="187">
        <f t="shared" si="33"/>
        <v>94.044387673638823</v>
      </c>
    </row>
    <row r="178" spans="1:9" x14ac:dyDescent="0.2">
      <c r="A178" s="224">
        <v>7100</v>
      </c>
      <c r="B178" s="215">
        <v>3900</v>
      </c>
      <c r="C178" s="87" t="s">
        <v>224</v>
      </c>
      <c r="D178" s="308">
        <v>8884</v>
      </c>
      <c r="E178" s="308">
        <v>9319</v>
      </c>
      <c r="F178" s="227">
        <v>9319</v>
      </c>
      <c r="G178" s="186">
        <f t="shared" si="32"/>
        <v>104.89644304367403</v>
      </c>
      <c r="H178" s="187">
        <f t="shared" si="33"/>
        <v>100</v>
      </c>
      <c r="I178" s="177"/>
    </row>
    <row r="179" spans="1:9" x14ac:dyDescent="0.2">
      <c r="A179" s="223" t="s">
        <v>13</v>
      </c>
      <c r="B179" s="215"/>
      <c r="C179" s="89"/>
      <c r="D179" s="309">
        <f>SUBTOTAL(9,D173:D178)</f>
        <v>136440</v>
      </c>
      <c r="E179" s="309">
        <f>SUBTOTAL(9,E173:E178)</f>
        <v>232528</v>
      </c>
      <c r="F179" s="180">
        <f>SUBTOTAL(9,F173:F178)</f>
        <v>231782</v>
      </c>
      <c r="G179" s="181">
        <f t="shared" si="32"/>
        <v>169.87833479917913</v>
      </c>
      <c r="H179" s="182">
        <f t="shared" si="33"/>
        <v>99.679178421523432</v>
      </c>
      <c r="I179" s="177"/>
    </row>
    <row r="180" spans="1:9" x14ac:dyDescent="0.2">
      <c r="A180" s="223"/>
      <c r="B180" s="215"/>
      <c r="C180" s="89"/>
      <c r="D180" s="309"/>
      <c r="E180" s="309"/>
      <c r="F180" s="180"/>
      <c r="G180" s="181">
        <f t="shared" si="32"/>
        <v>0</v>
      </c>
      <c r="H180" s="182">
        <f t="shared" si="33"/>
        <v>0</v>
      </c>
      <c r="I180" s="177"/>
    </row>
    <row r="181" spans="1:9" x14ac:dyDescent="0.2">
      <c r="A181" s="223" t="s">
        <v>37</v>
      </c>
      <c r="B181" s="215"/>
      <c r="C181" s="89"/>
      <c r="D181" s="309"/>
      <c r="E181" s="309"/>
      <c r="F181" s="180"/>
      <c r="G181" s="181">
        <f t="shared" si="32"/>
        <v>0</v>
      </c>
      <c r="H181" s="182">
        <f t="shared" si="33"/>
        <v>0</v>
      </c>
      <c r="I181" s="177"/>
    </row>
    <row r="182" spans="1:9" x14ac:dyDescent="0.2">
      <c r="A182" s="224">
        <v>7200</v>
      </c>
      <c r="B182" s="215">
        <v>3541</v>
      </c>
      <c r="C182" s="89" t="s">
        <v>199</v>
      </c>
      <c r="D182" s="308">
        <v>7055</v>
      </c>
      <c r="E182" s="308">
        <v>7055</v>
      </c>
      <c r="F182" s="212">
        <v>7055</v>
      </c>
      <c r="G182" s="186">
        <f t="shared" si="32"/>
        <v>100</v>
      </c>
      <c r="H182" s="187">
        <f t="shared" si="33"/>
        <v>100</v>
      </c>
    </row>
    <row r="183" spans="1:9" x14ac:dyDescent="0.2">
      <c r="A183" s="224">
        <v>7200</v>
      </c>
      <c r="B183" s="215">
        <v>4312</v>
      </c>
      <c r="C183" s="89" t="s">
        <v>236</v>
      </c>
      <c r="D183" s="308">
        <v>0</v>
      </c>
      <c r="E183" s="308">
        <v>4496</v>
      </c>
      <c r="F183" s="212">
        <v>4496</v>
      </c>
      <c r="G183" s="186">
        <f t="shared" si="32"/>
        <v>0</v>
      </c>
      <c r="H183" s="187">
        <f t="shared" si="33"/>
        <v>100</v>
      </c>
    </row>
    <row r="184" spans="1:9" x14ac:dyDescent="0.2">
      <c r="A184" s="224">
        <v>7200</v>
      </c>
      <c r="B184" s="215">
        <v>4324</v>
      </c>
      <c r="C184" s="89" t="s">
        <v>288</v>
      </c>
      <c r="D184" s="308"/>
      <c r="E184" s="308">
        <v>170</v>
      </c>
      <c r="F184" s="212">
        <v>141</v>
      </c>
      <c r="G184" s="186">
        <f t="shared" si="32"/>
        <v>0</v>
      </c>
      <c r="H184" s="187">
        <f t="shared" si="33"/>
        <v>82.941176470588246</v>
      </c>
      <c r="I184" s="177"/>
    </row>
    <row r="185" spans="1:9" x14ac:dyDescent="0.2">
      <c r="A185" s="224">
        <v>7200</v>
      </c>
      <c r="B185" s="179">
        <v>4341</v>
      </c>
      <c r="C185" s="87" t="s">
        <v>203</v>
      </c>
      <c r="D185" s="308">
        <v>2619</v>
      </c>
      <c r="E185" s="308">
        <v>3705</v>
      </c>
      <c r="F185" s="212">
        <v>2192</v>
      </c>
      <c r="G185" s="186">
        <f t="shared" si="32"/>
        <v>83.696067201221837</v>
      </c>
      <c r="H185" s="187">
        <f t="shared" si="33"/>
        <v>59.163292847503378</v>
      </c>
      <c r="I185" s="331"/>
    </row>
    <row r="186" spans="1:9" x14ac:dyDescent="0.2">
      <c r="A186" s="224">
        <v>7200</v>
      </c>
      <c r="B186" s="179">
        <v>4342</v>
      </c>
      <c r="C186" s="87" t="s">
        <v>83</v>
      </c>
      <c r="D186" s="308">
        <v>6850</v>
      </c>
      <c r="E186" s="308">
        <v>8772</v>
      </c>
      <c r="F186" s="212">
        <v>8761</v>
      </c>
      <c r="G186" s="186">
        <f t="shared" si="32"/>
        <v>127.89781021897811</v>
      </c>
      <c r="H186" s="187">
        <f t="shared" si="33"/>
        <v>99.87460100319197</v>
      </c>
      <c r="I186" s="177"/>
    </row>
    <row r="187" spans="1:9" x14ac:dyDescent="0.2">
      <c r="A187" s="224">
        <v>7200</v>
      </c>
      <c r="B187" s="179">
        <v>4344</v>
      </c>
      <c r="C187" s="87" t="s">
        <v>237</v>
      </c>
      <c r="D187" s="308">
        <v>0</v>
      </c>
      <c r="E187" s="308">
        <v>8459</v>
      </c>
      <c r="F187" s="212">
        <v>8459</v>
      </c>
      <c r="G187" s="186">
        <f t="shared" si="32"/>
        <v>0</v>
      </c>
      <c r="H187" s="187">
        <f t="shared" si="33"/>
        <v>100</v>
      </c>
    </row>
    <row r="188" spans="1:9" x14ac:dyDescent="0.2">
      <c r="A188" s="224">
        <v>7200</v>
      </c>
      <c r="B188" s="179">
        <v>4349</v>
      </c>
      <c r="C188" s="87" t="s">
        <v>289</v>
      </c>
      <c r="D188" s="308"/>
      <c r="E188" s="308">
        <v>3120</v>
      </c>
      <c r="F188" s="212">
        <v>2747</v>
      </c>
      <c r="G188" s="186">
        <f t="shared" si="32"/>
        <v>0</v>
      </c>
      <c r="H188" s="187">
        <f t="shared" si="33"/>
        <v>88.044871794871796</v>
      </c>
      <c r="I188" s="177"/>
    </row>
    <row r="189" spans="1:9" x14ac:dyDescent="0.2">
      <c r="A189" s="224">
        <v>7200</v>
      </c>
      <c r="B189" s="179">
        <v>4350</v>
      </c>
      <c r="C189" s="87" t="s">
        <v>229</v>
      </c>
      <c r="D189" s="308">
        <v>178137</v>
      </c>
      <c r="E189" s="308">
        <v>254238</v>
      </c>
      <c r="F189" s="212">
        <v>254237</v>
      </c>
      <c r="G189" s="186">
        <f t="shared" si="32"/>
        <v>142.71992904337674</v>
      </c>
      <c r="H189" s="187">
        <f t="shared" si="33"/>
        <v>99.999606667767992</v>
      </c>
      <c r="I189" s="177"/>
    </row>
    <row r="190" spans="1:9" x14ac:dyDescent="0.2">
      <c r="A190" s="224">
        <v>7200</v>
      </c>
      <c r="B190" s="179">
        <v>4351</v>
      </c>
      <c r="C190" s="87" t="s">
        <v>165</v>
      </c>
      <c r="D190" s="308">
        <v>0</v>
      </c>
      <c r="E190" s="308">
        <v>12054</v>
      </c>
      <c r="F190" s="212">
        <v>12054</v>
      </c>
      <c r="G190" s="186">
        <f t="shared" si="32"/>
        <v>0</v>
      </c>
      <c r="H190" s="187">
        <f t="shared" si="33"/>
        <v>100</v>
      </c>
    </row>
    <row r="191" spans="1:9" x14ac:dyDescent="0.2">
      <c r="A191" s="224">
        <v>7200</v>
      </c>
      <c r="B191" s="179">
        <v>4352</v>
      </c>
      <c r="C191" s="87" t="s">
        <v>277</v>
      </c>
      <c r="D191" s="308">
        <v>520</v>
      </c>
      <c r="E191" s="308">
        <v>45</v>
      </c>
      <c r="F191" s="212"/>
      <c r="G191" s="186">
        <f t="shared" si="32"/>
        <v>0</v>
      </c>
      <c r="H191" s="187">
        <f t="shared" si="33"/>
        <v>0</v>
      </c>
      <c r="I191" s="177"/>
    </row>
    <row r="192" spans="1:9" x14ac:dyDescent="0.2">
      <c r="A192" s="224">
        <v>7200</v>
      </c>
      <c r="B192" s="179">
        <v>4353</v>
      </c>
      <c r="C192" s="87" t="s">
        <v>238</v>
      </c>
      <c r="D192" s="308">
        <v>0</v>
      </c>
      <c r="E192" s="308">
        <v>80</v>
      </c>
      <c r="F192" s="212">
        <v>80</v>
      </c>
      <c r="G192" s="186">
        <f t="shared" si="32"/>
        <v>0</v>
      </c>
      <c r="H192" s="187">
        <f t="shared" si="33"/>
        <v>100</v>
      </c>
      <c r="I192" s="177"/>
    </row>
    <row r="193" spans="1:9" x14ac:dyDescent="0.2">
      <c r="A193" s="224">
        <v>7200</v>
      </c>
      <c r="B193" s="179">
        <v>4354</v>
      </c>
      <c r="C193" s="87" t="s">
        <v>239</v>
      </c>
      <c r="D193" s="308"/>
      <c r="E193" s="308">
        <v>4843</v>
      </c>
      <c r="F193" s="212">
        <v>4843</v>
      </c>
      <c r="G193" s="186">
        <f t="shared" si="32"/>
        <v>0</v>
      </c>
      <c r="H193" s="187">
        <f t="shared" si="33"/>
        <v>100</v>
      </c>
    </row>
    <row r="194" spans="1:9" x14ac:dyDescent="0.2">
      <c r="A194" s="224">
        <v>7200</v>
      </c>
      <c r="B194" s="179">
        <v>4355</v>
      </c>
      <c r="C194" s="87" t="s">
        <v>269</v>
      </c>
      <c r="D194" s="308"/>
      <c r="E194" s="308">
        <v>910</v>
      </c>
      <c r="F194" s="212">
        <v>910</v>
      </c>
      <c r="G194" s="186">
        <f t="shared" si="32"/>
        <v>0</v>
      </c>
      <c r="H194" s="187">
        <f t="shared" si="33"/>
        <v>100</v>
      </c>
      <c r="I194" s="177"/>
    </row>
    <row r="195" spans="1:9" x14ac:dyDescent="0.2">
      <c r="A195" s="224">
        <v>7200</v>
      </c>
      <c r="B195" s="179">
        <v>4356</v>
      </c>
      <c r="C195" s="87" t="s">
        <v>240</v>
      </c>
      <c r="D195" s="308">
        <v>0</v>
      </c>
      <c r="E195" s="308">
        <v>7936</v>
      </c>
      <c r="F195" s="212">
        <v>7936</v>
      </c>
      <c r="G195" s="186">
        <f t="shared" si="32"/>
        <v>0</v>
      </c>
      <c r="H195" s="187">
        <f t="shared" si="33"/>
        <v>100</v>
      </c>
    </row>
    <row r="196" spans="1:9" x14ac:dyDescent="0.2">
      <c r="A196" s="224">
        <v>7200</v>
      </c>
      <c r="B196" s="179">
        <v>4357</v>
      </c>
      <c r="C196" s="105" t="s">
        <v>230</v>
      </c>
      <c r="D196" s="308">
        <v>33026</v>
      </c>
      <c r="E196" s="308">
        <v>84992</v>
      </c>
      <c r="F196" s="212">
        <v>84992</v>
      </c>
      <c r="G196" s="186">
        <f t="shared" si="32"/>
        <v>257.34875552594929</v>
      </c>
      <c r="H196" s="187">
        <f t="shared" si="33"/>
        <v>100</v>
      </c>
    </row>
    <row r="197" spans="1:9" x14ac:dyDescent="0.2">
      <c r="A197" s="224">
        <v>7200</v>
      </c>
      <c r="B197" s="179">
        <v>4359</v>
      </c>
      <c r="C197" s="87" t="s">
        <v>180</v>
      </c>
      <c r="D197" s="308">
        <v>80701</v>
      </c>
      <c r="E197" s="308">
        <v>4180</v>
      </c>
      <c r="F197" s="212">
        <v>4155</v>
      </c>
      <c r="G197" s="186">
        <f t="shared" si="32"/>
        <v>5.1486350850670988</v>
      </c>
      <c r="H197" s="187">
        <f t="shared" si="33"/>
        <v>99.401913875598098</v>
      </c>
    </row>
    <row r="198" spans="1:9" x14ac:dyDescent="0.2">
      <c r="A198" s="224">
        <v>7200</v>
      </c>
      <c r="B198" s="179">
        <v>4371</v>
      </c>
      <c r="C198" s="87" t="s">
        <v>241</v>
      </c>
      <c r="D198" s="308">
        <v>0</v>
      </c>
      <c r="E198" s="308">
        <v>5216</v>
      </c>
      <c r="F198" s="212">
        <v>5216</v>
      </c>
      <c r="G198" s="186">
        <f t="shared" si="32"/>
        <v>0</v>
      </c>
      <c r="H198" s="187">
        <f t="shared" si="33"/>
        <v>100</v>
      </c>
    </row>
    <row r="199" spans="1:9" x14ac:dyDescent="0.2">
      <c r="A199" s="224">
        <v>7200</v>
      </c>
      <c r="B199" s="179">
        <v>4372</v>
      </c>
      <c r="C199" s="87" t="s">
        <v>242</v>
      </c>
      <c r="D199" s="308">
        <v>0</v>
      </c>
      <c r="E199" s="308">
        <v>1642</v>
      </c>
      <c r="F199" s="212">
        <v>1642</v>
      </c>
      <c r="G199" s="186">
        <f t="shared" si="32"/>
        <v>0</v>
      </c>
      <c r="H199" s="187">
        <f t="shared" si="33"/>
        <v>100</v>
      </c>
      <c r="I199" s="330"/>
    </row>
    <row r="200" spans="1:9" x14ac:dyDescent="0.2">
      <c r="A200" s="224">
        <v>7200</v>
      </c>
      <c r="B200" s="179">
        <v>4373</v>
      </c>
      <c r="C200" s="87" t="s">
        <v>300</v>
      </c>
      <c r="D200" s="308"/>
      <c r="E200" s="308">
        <v>75</v>
      </c>
      <c r="F200" s="212">
        <v>75</v>
      </c>
      <c r="G200" s="186"/>
      <c r="H200" s="187">
        <f t="shared" si="33"/>
        <v>100</v>
      </c>
      <c r="I200" s="330"/>
    </row>
    <row r="201" spans="1:9" x14ac:dyDescent="0.2">
      <c r="A201" s="224">
        <v>7200</v>
      </c>
      <c r="B201" s="179">
        <v>4374</v>
      </c>
      <c r="C201" s="105" t="s">
        <v>231</v>
      </c>
      <c r="D201" s="308">
        <v>87236</v>
      </c>
      <c r="E201" s="308">
        <v>98452</v>
      </c>
      <c r="F201" s="212">
        <v>98398</v>
      </c>
      <c r="G201" s="186">
        <f t="shared" si="32"/>
        <v>112.795176303361</v>
      </c>
      <c r="H201" s="187">
        <f t="shared" si="33"/>
        <v>99.945150936496972</v>
      </c>
    </row>
    <row r="202" spans="1:9" x14ac:dyDescent="0.2">
      <c r="A202" s="224">
        <v>7200</v>
      </c>
      <c r="B202" s="179">
        <v>4375</v>
      </c>
      <c r="C202" s="105" t="s">
        <v>243</v>
      </c>
      <c r="D202" s="308">
        <v>0</v>
      </c>
      <c r="E202" s="308">
        <v>6385</v>
      </c>
      <c r="F202" s="212">
        <v>6385</v>
      </c>
      <c r="G202" s="186">
        <f t="shared" ref="G202:G209" si="37">IF(D202&lt;=0,0,$F202/D202*100)</f>
        <v>0</v>
      </c>
      <c r="H202" s="187">
        <f t="shared" si="33"/>
        <v>100</v>
      </c>
    </row>
    <row r="203" spans="1:9" x14ac:dyDescent="0.2">
      <c r="A203" s="224">
        <v>7200</v>
      </c>
      <c r="B203" s="179">
        <v>4376</v>
      </c>
      <c r="C203" s="105" t="s">
        <v>244</v>
      </c>
      <c r="D203" s="308"/>
      <c r="E203" s="308">
        <v>2177</v>
      </c>
      <c r="F203" s="212">
        <v>2177</v>
      </c>
      <c r="G203" s="186">
        <f t="shared" si="37"/>
        <v>0</v>
      </c>
      <c r="H203" s="187">
        <f t="shared" si="33"/>
        <v>100</v>
      </c>
    </row>
    <row r="204" spans="1:9" x14ac:dyDescent="0.2">
      <c r="A204" s="224">
        <v>7200</v>
      </c>
      <c r="B204" s="179">
        <v>4377</v>
      </c>
      <c r="C204" s="105" t="s">
        <v>262</v>
      </c>
      <c r="D204" s="308">
        <v>0</v>
      </c>
      <c r="E204" s="308">
        <v>1415</v>
      </c>
      <c r="F204" s="212">
        <v>1414</v>
      </c>
      <c r="G204" s="186">
        <f t="shared" si="37"/>
        <v>0</v>
      </c>
      <c r="H204" s="187">
        <f t="shared" si="33"/>
        <v>99.929328621908127</v>
      </c>
      <c r="I204" s="177"/>
    </row>
    <row r="205" spans="1:9" x14ac:dyDescent="0.2">
      <c r="A205" s="224">
        <v>7200</v>
      </c>
      <c r="B205" s="179">
        <v>4378</v>
      </c>
      <c r="C205" s="105" t="s">
        <v>245</v>
      </c>
      <c r="D205" s="308">
        <v>0</v>
      </c>
      <c r="E205" s="308">
        <v>6662</v>
      </c>
      <c r="F205" s="212">
        <v>6662</v>
      </c>
      <c r="G205" s="186">
        <f t="shared" si="37"/>
        <v>0</v>
      </c>
      <c r="H205" s="187">
        <f t="shared" si="33"/>
        <v>100</v>
      </c>
    </row>
    <row r="206" spans="1:9" x14ac:dyDescent="0.2">
      <c r="A206" s="224">
        <v>7200</v>
      </c>
      <c r="B206" s="179">
        <v>4379</v>
      </c>
      <c r="C206" s="87" t="s">
        <v>178</v>
      </c>
      <c r="D206" s="308">
        <v>995</v>
      </c>
      <c r="E206" s="308">
        <v>4493</v>
      </c>
      <c r="F206" s="212">
        <v>4492</v>
      </c>
      <c r="G206" s="186">
        <f t="shared" si="37"/>
        <v>451.45728643216086</v>
      </c>
      <c r="H206" s="187">
        <f t="shared" ref="H206:H209" si="38">IF(E206&lt;=0,0,$F206/E206*100)</f>
        <v>99.977743156020466</v>
      </c>
    </row>
    <row r="207" spans="1:9" x14ac:dyDescent="0.2">
      <c r="A207" s="224">
        <v>7200</v>
      </c>
      <c r="B207" s="179">
        <v>4399</v>
      </c>
      <c r="C207" s="87" t="s">
        <v>246</v>
      </c>
      <c r="D207" s="308">
        <v>0</v>
      </c>
      <c r="E207" s="308">
        <v>7312</v>
      </c>
      <c r="F207" s="212">
        <v>1166</v>
      </c>
      <c r="G207" s="186">
        <f t="shared" si="37"/>
        <v>0</v>
      </c>
      <c r="H207" s="187">
        <f t="shared" si="38"/>
        <v>15.946389496717725</v>
      </c>
      <c r="I207" s="331"/>
    </row>
    <row r="208" spans="1:9" x14ac:dyDescent="0.2">
      <c r="A208" s="224">
        <v>7200</v>
      </c>
      <c r="B208" s="179">
        <v>5319</v>
      </c>
      <c r="C208" s="115" t="s">
        <v>185</v>
      </c>
      <c r="D208" s="308">
        <v>2900</v>
      </c>
      <c r="E208" s="308">
        <v>3418</v>
      </c>
      <c r="F208" s="212">
        <v>3168</v>
      </c>
      <c r="G208" s="186">
        <f t="shared" ref="G208" si="39">IF(D208&lt;=0,0,$F208/D208*100)</f>
        <v>109.24137931034483</v>
      </c>
      <c r="H208" s="187">
        <f t="shared" ref="H208" si="40">IF(E208&lt;=0,0,$F208/E208*100)</f>
        <v>92.685781158572269</v>
      </c>
      <c r="I208" s="177"/>
    </row>
    <row r="209" spans="1:9" x14ac:dyDescent="0.2">
      <c r="A209" s="224">
        <v>7200</v>
      </c>
      <c r="B209" s="179">
        <v>6330</v>
      </c>
      <c r="C209" s="64" t="s">
        <v>260</v>
      </c>
      <c r="D209" s="308"/>
      <c r="E209" s="308">
        <v>400</v>
      </c>
      <c r="F209" s="212">
        <v>400</v>
      </c>
      <c r="G209" s="186">
        <f t="shared" si="37"/>
        <v>0</v>
      </c>
      <c r="H209" s="187">
        <f t="shared" si="38"/>
        <v>100</v>
      </c>
      <c r="I209" s="177"/>
    </row>
    <row r="210" spans="1:9" x14ac:dyDescent="0.2">
      <c r="A210" s="178" t="s">
        <v>33</v>
      </c>
      <c r="B210" s="179"/>
      <c r="C210" s="87"/>
      <c r="D210" s="309">
        <f>SUBTOTAL(9,D182:D209)</f>
        <v>400039</v>
      </c>
      <c r="E210" s="309">
        <f>SUBTOTAL(9,E182:E209)</f>
        <v>542702</v>
      </c>
      <c r="F210" s="180">
        <f>SUBTOTAL(9,F182:F209)</f>
        <v>534253</v>
      </c>
      <c r="G210" s="181">
        <f t="shared" ref="G210:G238" si="41">IF(D210&lt;=0,0,$F210/D210*100)</f>
        <v>133.55022885268687</v>
      </c>
      <c r="H210" s="182">
        <f t="shared" ref="H210:H238" si="42">IF(E210&lt;=0,0,$F210/E210*100)</f>
        <v>98.44316033476936</v>
      </c>
      <c r="I210" s="177"/>
    </row>
    <row r="211" spans="1:9" x14ac:dyDescent="0.2">
      <c r="A211" s="178"/>
      <c r="B211" s="179"/>
      <c r="C211" s="87"/>
      <c r="D211" s="309"/>
      <c r="E211" s="309"/>
      <c r="F211" s="180"/>
      <c r="G211" s="181">
        <f t="shared" si="41"/>
        <v>0</v>
      </c>
      <c r="H211" s="182">
        <f t="shared" si="42"/>
        <v>0</v>
      </c>
      <c r="I211" s="177"/>
    </row>
    <row r="212" spans="1:9" x14ac:dyDescent="0.2">
      <c r="A212" s="178" t="s">
        <v>28</v>
      </c>
      <c r="B212" s="179"/>
      <c r="C212" s="87"/>
      <c r="D212" s="309"/>
      <c r="E212" s="309"/>
      <c r="F212" s="180"/>
      <c r="G212" s="181">
        <f t="shared" si="41"/>
        <v>0</v>
      </c>
      <c r="H212" s="182">
        <f t="shared" si="42"/>
        <v>0</v>
      </c>
      <c r="I212" s="177"/>
    </row>
    <row r="213" spans="1:9" x14ac:dyDescent="0.2">
      <c r="A213" s="216">
        <v>7300</v>
      </c>
      <c r="B213" s="204">
        <v>3311</v>
      </c>
      <c r="C213" s="115" t="s">
        <v>23</v>
      </c>
      <c r="D213" s="308">
        <v>564852</v>
      </c>
      <c r="E213" s="308">
        <v>608878</v>
      </c>
      <c r="F213" s="217">
        <v>608877</v>
      </c>
      <c r="G213" s="186">
        <f t="shared" si="41"/>
        <v>107.79407703256783</v>
      </c>
      <c r="H213" s="187">
        <f t="shared" si="42"/>
        <v>99.999835763486274</v>
      </c>
      <c r="I213" s="177"/>
    </row>
    <row r="214" spans="1:9" x14ac:dyDescent="0.2">
      <c r="A214" s="216">
        <v>7300</v>
      </c>
      <c r="B214" s="204">
        <v>3312</v>
      </c>
      <c r="C214" s="115" t="s">
        <v>85</v>
      </c>
      <c r="D214" s="308">
        <v>78539</v>
      </c>
      <c r="E214" s="308">
        <v>84433</v>
      </c>
      <c r="F214" s="217">
        <v>82793</v>
      </c>
      <c r="G214" s="186">
        <f t="shared" si="41"/>
        <v>105.4164173213308</v>
      </c>
      <c r="H214" s="187">
        <f t="shared" si="42"/>
        <v>98.057631494794691</v>
      </c>
      <c r="I214" s="177"/>
    </row>
    <row r="215" spans="1:9" x14ac:dyDescent="0.2">
      <c r="A215" s="216">
        <v>7300</v>
      </c>
      <c r="B215" s="204">
        <v>3313</v>
      </c>
      <c r="C215" s="115" t="s">
        <v>261</v>
      </c>
      <c r="D215" s="308">
        <v>1364</v>
      </c>
      <c r="E215" s="308">
        <v>4364</v>
      </c>
      <c r="F215" s="217">
        <v>4364</v>
      </c>
      <c r="G215" s="186">
        <f t="shared" si="41"/>
        <v>319.94134897360703</v>
      </c>
      <c r="H215" s="187">
        <f t="shared" si="42"/>
        <v>100</v>
      </c>
    </row>
    <row r="216" spans="1:9" x14ac:dyDescent="0.2">
      <c r="A216" s="216">
        <v>7300</v>
      </c>
      <c r="B216" s="204">
        <v>3314</v>
      </c>
      <c r="C216" s="115" t="s">
        <v>86</v>
      </c>
      <c r="D216" s="308">
        <v>60638</v>
      </c>
      <c r="E216" s="308">
        <v>61488</v>
      </c>
      <c r="F216" s="217">
        <v>61288</v>
      </c>
      <c r="G216" s="186">
        <f t="shared" si="41"/>
        <v>101.07193509020746</v>
      </c>
      <c r="H216" s="187">
        <f t="shared" si="42"/>
        <v>99.674733281290656</v>
      </c>
      <c r="I216" s="177"/>
    </row>
    <row r="217" spans="1:9" x14ac:dyDescent="0.2">
      <c r="A217" s="216">
        <v>7300</v>
      </c>
      <c r="B217" s="204">
        <v>3315</v>
      </c>
      <c r="C217" s="115" t="s">
        <v>87</v>
      </c>
      <c r="D217" s="308">
        <v>57828</v>
      </c>
      <c r="E217" s="308">
        <v>60388</v>
      </c>
      <c r="F217" s="217">
        <v>60388</v>
      </c>
      <c r="G217" s="186">
        <f t="shared" si="41"/>
        <v>104.42692121463651</v>
      </c>
      <c r="H217" s="187">
        <f t="shared" si="42"/>
        <v>100</v>
      </c>
      <c r="I217" s="177"/>
    </row>
    <row r="218" spans="1:9" x14ac:dyDescent="0.2">
      <c r="A218" s="216">
        <v>7300</v>
      </c>
      <c r="B218" s="204">
        <v>3316</v>
      </c>
      <c r="C218" s="115" t="s">
        <v>263</v>
      </c>
      <c r="D218" s="308">
        <v>1412</v>
      </c>
      <c r="E218" s="308">
        <v>1412</v>
      </c>
      <c r="F218" s="217">
        <v>1412</v>
      </c>
      <c r="G218" s="186">
        <f t="shared" si="41"/>
        <v>100</v>
      </c>
      <c r="H218" s="187">
        <f t="shared" si="42"/>
        <v>100</v>
      </c>
      <c r="I218" s="330"/>
    </row>
    <row r="219" spans="1:9" x14ac:dyDescent="0.2">
      <c r="A219" s="216">
        <v>7300</v>
      </c>
      <c r="B219" s="204">
        <v>3317</v>
      </c>
      <c r="C219" s="115" t="s">
        <v>88</v>
      </c>
      <c r="D219" s="308">
        <v>18997</v>
      </c>
      <c r="E219" s="308">
        <v>20275</v>
      </c>
      <c r="F219" s="217">
        <v>20094</v>
      </c>
      <c r="G219" s="186">
        <f t="shared" si="41"/>
        <v>105.77459598884033</v>
      </c>
      <c r="H219" s="187">
        <f t="shared" si="42"/>
        <v>99.107274969173858</v>
      </c>
      <c r="I219" s="177"/>
    </row>
    <row r="220" spans="1:9" x14ac:dyDescent="0.2">
      <c r="A220" s="216">
        <v>7300</v>
      </c>
      <c r="B220" s="204">
        <v>3319</v>
      </c>
      <c r="C220" s="115" t="s">
        <v>45</v>
      </c>
      <c r="D220" s="308">
        <v>27000</v>
      </c>
      <c r="E220" s="308">
        <v>27150</v>
      </c>
      <c r="F220" s="217">
        <v>24745</v>
      </c>
      <c r="G220" s="186">
        <f t="shared" si="41"/>
        <v>91.648148148148152</v>
      </c>
      <c r="H220" s="187">
        <f t="shared" si="42"/>
        <v>91.141804788213634</v>
      </c>
      <c r="I220" s="177"/>
    </row>
    <row r="221" spans="1:9" x14ac:dyDescent="0.2">
      <c r="A221" s="216">
        <v>7300</v>
      </c>
      <c r="B221" s="204">
        <v>3326</v>
      </c>
      <c r="C221" s="115" t="s">
        <v>274</v>
      </c>
      <c r="D221" s="308">
        <v>2319</v>
      </c>
      <c r="E221" s="308">
        <v>2289</v>
      </c>
      <c r="F221" s="217">
        <v>1916</v>
      </c>
      <c r="G221" s="186">
        <f t="shared" si="41"/>
        <v>82.621819749892197</v>
      </c>
      <c r="H221" s="187">
        <f t="shared" si="42"/>
        <v>83.704674530362595</v>
      </c>
      <c r="I221" s="177"/>
    </row>
    <row r="222" spans="1:9" x14ac:dyDescent="0.2">
      <c r="A222" s="216">
        <v>7300</v>
      </c>
      <c r="B222" s="204">
        <v>3329</v>
      </c>
      <c r="C222" s="229" t="s">
        <v>270</v>
      </c>
      <c r="D222" s="308">
        <v>150</v>
      </c>
      <c r="E222" s="308">
        <v>150</v>
      </c>
      <c r="F222" s="217">
        <v>150</v>
      </c>
      <c r="G222" s="186">
        <f t="shared" si="41"/>
        <v>100</v>
      </c>
      <c r="H222" s="187">
        <f t="shared" si="42"/>
        <v>100</v>
      </c>
      <c r="I222" s="177"/>
    </row>
    <row r="223" spans="1:9" x14ac:dyDescent="0.2">
      <c r="A223" s="216">
        <v>7300</v>
      </c>
      <c r="B223" s="204">
        <v>3391</v>
      </c>
      <c r="C223" s="229" t="s">
        <v>292</v>
      </c>
      <c r="D223" s="308"/>
      <c r="E223" s="308">
        <v>250</v>
      </c>
      <c r="F223" s="217">
        <v>250</v>
      </c>
      <c r="G223" s="186"/>
      <c r="H223" s="187">
        <f t="shared" si="42"/>
        <v>100</v>
      </c>
      <c r="I223" s="177"/>
    </row>
    <row r="224" spans="1:9" x14ac:dyDescent="0.2">
      <c r="A224" s="216">
        <v>7300</v>
      </c>
      <c r="B224" s="204">
        <v>6330</v>
      </c>
      <c r="C224" s="64" t="s">
        <v>260</v>
      </c>
      <c r="D224" s="308"/>
      <c r="E224" s="308">
        <v>1780</v>
      </c>
      <c r="F224" s="217">
        <v>1780</v>
      </c>
      <c r="G224" s="186">
        <f t="shared" si="41"/>
        <v>0</v>
      </c>
      <c r="H224" s="187">
        <f t="shared" si="42"/>
        <v>100</v>
      </c>
      <c r="I224" s="330"/>
    </row>
    <row r="225" spans="1:9" x14ac:dyDescent="0.2">
      <c r="A225" s="203" t="s">
        <v>25</v>
      </c>
      <c r="B225" s="204"/>
      <c r="C225" s="115"/>
      <c r="D225" s="309">
        <f>SUBTOTAL(9,D213:D224)</f>
        <v>813099</v>
      </c>
      <c r="E225" s="309">
        <f>SUBTOTAL(9,E213:E224)</f>
        <v>872857</v>
      </c>
      <c r="F225" s="180">
        <f>SUBTOTAL(9,F213:F224)</f>
        <v>868057</v>
      </c>
      <c r="G225" s="181">
        <f t="shared" si="41"/>
        <v>106.75907853779182</v>
      </c>
      <c r="H225" s="182">
        <f t="shared" si="42"/>
        <v>99.450081743057567</v>
      </c>
      <c r="I225" s="177"/>
    </row>
    <row r="226" spans="1:9" x14ac:dyDescent="0.2">
      <c r="A226" s="203"/>
      <c r="B226" s="204"/>
      <c r="C226" s="115"/>
      <c r="D226" s="309"/>
      <c r="E226" s="309"/>
      <c r="F226" s="180"/>
      <c r="G226" s="181">
        <f t="shared" si="41"/>
        <v>0</v>
      </c>
      <c r="H226" s="182">
        <f t="shared" si="42"/>
        <v>0</v>
      </c>
      <c r="I226" s="177"/>
    </row>
    <row r="227" spans="1:9" x14ac:dyDescent="0.2">
      <c r="A227" s="230" t="s">
        <v>93</v>
      </c>
      <c r="B227" s="184"/>
      <c r="C227" s="69"/>
      <c r="D227" s="309"/>
      <c r="E227" s="309"/>
      <c r="F227" s="180"/>
      <c r="G227" s="181">
        <f t="shared" si="41"/>
        <v>0</v>
      </c>
      <c r="H227" s="182">
        <f t="shared" si="42"/>
        <v>0</v>
      </c>
      <c r="I227" s="177"/>
    </row>
    <row r="228" spans="1:9" x14ac:dyDescent="0.2">
      <c r="A228" s="216">
        <v>7500</v>
      </c>
      <c r="B228" s="204">
        <v>3322</v>
      </c>
      <c r="C228" s="115" t="s">
        <v>26</v>
      </c>
      <c r="D228" s="308">
        <v>16210</v>
      </c>
      <c r="E228" s="308">
        <v>17835</v>
      </c>
      <c r="F228" s="217">
        <v>16778</v>
      </c>
      <c r="G228" s="186">
        <f t="shared" si="41"/>
        <v>103.50400987045035</v>
      </c>
      <c r="H228" s="187">
        <f t="shared" si="42"/>
        <v>94.073451079338383</v>
      </c>
      <c r="I228" s="177"/>
    </row>
    <row r="229" spans="1:9" x14ac:dyDescent="0.2">
      <c r="A229" s="216">
        <v>7500</v>
      </c>
      <c r="B229" s="204">
        <v>6330</v>
      </c>
      <c r="C229" s="64" t="s">
        <v>260</v>
      </c>
      <c r="D229" s="308"/>
      <c r="E229" s="308">
        <v>350</v>
      </c>
      <c r="F229" s="217">
        <v>140</v>
      </c>
      <c r="G229" s="186"/>
      <c r="H229" s="187">
        <f t="shared" si="42"/>
        <v>40</v>
      </c>
      <c r="I229" s="177"/>
    </row>
    <row r="230" spans="1:9" x14ac:dyDescent="0.2">
      <c r="A230" s="203" t="s">
        <v>94</v>
      </c>
      <c r="B230" s="204"/>
      <c r="C230" s="115"/>
      <c r="D230" s="309">
        <f>SUBTOTAL(9,D228:D229)</f>
        <v>16210</v>
      </c>
      <c r="E230" s="309">
        <f t="shared" ref="E230:F230" si="43">SUBTOTAL(9,E228:E229)</f>
        <v>18185</v>
      </c>
      <c r="F230" s="180">
        <f t="shared" si="43"/>
        <v>16918</v>
      </c>
      <c r="G230" s="181">
        <f t="shared" si="41"/>
        <v>104.3676742751388</v>
      </c>
      <c r="H230" s="182">
        <f t="shared" si="42"/>
        <v>93.032719274127032</v>
      </c>
      <c r="I230" s="177"/>
    </row>
    <row r="231" spans="1:9" x14ac:dyDescent="0.2">
      <c r="A231" s="203"/>
      <c r="B231" s="204"/>
      <c r="C231" s="115"/>
      <c r="D231" s="309"/>
      <c r="E231" s="309"/>
      <c r="F231" s="180"/>
      <c r="G231" s="181">
        <f t="shared" si="41"/>
        <v>0</v>
      </c>
      <c r="H231" s="182">
        <f t="shared" si="42"/>
        <v>0</v>
      </c>
      <c r="I231" s="177"/>
    </row>
    <row r="232" spans="1:9" x14ac:dyDescent="0.2">
      <c r="A232" s="203" t="s">
        <v>29</v>
      </c>
      <c r="B232" s="204"/>
      <c r="C232" s="115"/>
      <c r="D232" s="309"/>
      <c r="E232" s="309"/>
      <c r="F232" s="180"/>
      <c r="G232" s="181">
        <f t="shared" si="41"/>
        <v>0</v>
      </c>
      <c r="H232" s="182">
        <f t="shared" si="42"/>
        <v>0</v>
      </c>
      <c r="I232" s="177"/>
    </row>
    <row r="233" spans="1:9" x14ac:dyDescent="0.2">
      <c r="A233" s="216">
        <v>8200</v>
      </c>
      <c r="B233" s="204">
        <v>1014</v>
      </c>
      <c r="C233" s="69" t="s">
        <v>161</v>
      </c>
      <c r="D233" s="307">
        <v>15175</v>
      </c>
      <c r="E233" s="307">
        <v>12302</v>
      </c>
      <c r="F233" s="185">
        <v>8970</v>
      </c>
      <c r="G233" s="186">
        <f t="shared" si="41"/>
        <v>59.110378912685334</v>
      </c>
      <c r="H233" s="187">
        <f t="shared" si="42"/>
        <v>72.914973175093479</v>
      </c>
      <c r="I233" s="177"/>
    </row>
    <row r="234" spans="1:9" x14ac:dyDescent="0.2">
      <c r="A234" s="216">
        <v>8200</v>
      </c>
      <c r="B234" s="204" t="s">
        <v>30</v>
      </c>
      <c r="C234" s="115" t="s">
        <v>31</v>
      </c>
      <c r="D234" s="308">
        <v>379069</v>
      </c>
      <c r="E234" s="308">
        <v>384361</v>
      </c>
      <c r="F234" s="217">
        <v>362123</v>
      </c>
      <c r="G234" s="186">
        <f t="shared" si="41"/>
        <v>95.529573771529712</v>
      </c>
      <c r="H234" s="187">
        <f t="shared" si="42"/>
        <v>94.214293333610854</v>
      </c>
      <c r="I234" s="177"/>
    </row>
    <row r="235" spans="1:9" x14ac:dyDescent="0.2">
      <c r="A235" s="216">
        <v>8200</v>
      </c>
      <c r="B235" s="204">
        <v>5319</v>
      </c>
      <c r="C235" s="115" t="s">
        <v>185</v>
      </c>
      <c r="D235" s="308">
        <v>654</v>
      </c>
      <c r="E235" s="308">
        <v>1245</v>
      </c>
      <c r="F235" s="217">
        <v>1222</v>
      </c>
      <c r="G235" s="186">
        <f t="shared" ref="G235" si="44">IF(D235&lt;=0,0,$F235/D235*100)</f>
        <v>186.85015290519877</v>
      </c>
      <c r="H235" s="187">
        <f t="shared" ref="H235" si="45">IF(E235&lt;=0,0,$F235/E235*100)</f>
        <v>98.152610441767067</v>
      </c>
      <c r="I235" s="177"/>
    </row>
    <row r="236" spans="1:9" x14ac:dyDescent="0.2">
      <c r="A236" s="216">
        <v>8200</v>
      </c>
      <c r="B236" s="204">
        <v>6330</v>
      </c>
      <c r="C236" s="64" t="s">
        <v>260</v>
      </c>
      <c r="D236" s="308"/>
      <c r="E236" s="308"/>
      <c r="F236" s="217">
        <v>15468</v>
      </c>
      <c r="G236" s="186"/>
      <c r="H236" s="187"/>
      <c r="I236" s="331"/>
    </row>
    <row r="237" spans="1:9" x14ac:dyDescent="0.2">
      <c r="A237" s="216">
        <v>8200</v>
      </c>
      <c r="B237" s="204">
        <v>6399</v>
      </c>
      <c r="C237" s="115" t="s">
        <v>77</v>
      </c>
      <c r="D237" s="308"/>
      <c r="E237" s="308"/>
      <c r="F237" s="217">
        <v>2</v>
      </c>
      <c r="G237" s="186">
        <f t="shared" si="41"/>
        <v>0</v>
      </c>
      <c r="H237" s="187">
        <f t="shared" si="42"/>
        <v>0</v>
      </c>
      <c r="I237" s="331"/>
    </row>
    <row r="238" spans="1:9" x14ac:dyDescent="0.2">
      <c r="A238" s="203" t="s">
        <v>27</v>
      </c>
      <c r="B238" s="204"/>
      <c r="C238" s="115"/>
      <c r="D238" s="309">
        <f>SUBTOTAL(9,D233:D237)</f>
        <v>394898</v>
      </c>
      <c r="E238" s="309">
        <f>SUBTOTAL(9,E233:E237)</f>
        <v>397908</v>
      </c>
      <c r="F238" s="180">
        <f>SUBTOTAL(9,F233:F237)</f>
        <v>387785</v>
      </c>
      <c r="G238" s="181">
        <f t="shared" si="41"/>
        <v>98.198775379971536</v>
      </c>
      <c r="H238" s="182">
        <f t="shared" si="42"/>
        <v>97.455944590206784</v>
      </c>
      <c r="I238" s="177"/>
    </row>
    <row r="239" spans="1:9" x14ac:dyDescent="0.2">
      <c r="A239" s="231"/>
      <c r="B239" s="232"/>
      <c r="C239" s="233"/>
      <c r="D239" s="315"/>
      <c r="E239" s="315"/>
      <c r="F239" s="234"/>
      <c r="G239" s="209"/>
      <c r="H239" s="210"/>
      <c r="I239" s="177"/>
    </row>
    <row r="240" spans="1:9" x14ac:dyDescent="0.2">
      <c r="A240" s="230" t="s">
        <v>247</v>
      </c>
      <c r="B240" s="184"/>
      <c r="C240" s="69"/>
      <c r="D240" s="309"/>
      <c r="E240" s="309"/>
      <c r="F240" s="235"/>
      <c r="G240" s="236">
        <f t="shared" ref="G240:H242" si="46">IF(D240&lt;=0,0,$F240/D240*100)</f>
        <v>0</v>
      </c>
      <c r="H240" s="182">
        <f t="shared" si="46"/>
        <v>0</v>
      </c>
    </row>
    <row r="241" spans="1:9" x14ac:dyDescent="0.2">
      <c r="A241" s="216">
        <v>8887</v>
      </c>
      <c r="B241" s="204">
        <v>6399</v>
      </c>
      <c r="C241" s="115" t="s">
        <v>77</v>
      </c>
      <c r="D241" s="308"/>
      <c r="E241" s="308"/>
      <c r="F241" s="237">
        <v>2979</v>
      </c>
      <c r="G241" s="186">
        <f t="shared" si="46"/>
        <v>0</v>
      </c>
      <c r="H241" s="187">
        <f t="shared" si="46"/>
        <v>0</v>
      </c>
    </row>
    <row r="242" spans="1:9" x14ac:dyDescent="0.2">
      <c r="A242" s="203" t="s">
        <v>248</v>
      </c>
      <c r="B242" s="204"/>
      <c r="C242" s="115"/>
      <c r="D242" s="309">
        <f>SUBTOTAL(9,D241:D241)</f>
        <v>0</v>
      </c>
      <c r="E242" s="309">
        <f>SUBTOTAL(9,E241:E241)</f>
        <v>0</v>
      </c>
      <c r="F242" s="180">
        <f>SUBTOTAL(9,F241:F241)</f>
        <v>2979</v>
      </c>
      <c r="G242" s="239">
        <f t="shared" si="46"/>
        <v>0</v>
      </c>
      <c r="H242" s="182">
        <f t="shared" si="46"/>
        <v>0</v>
      </c>
    </row>
    <row r="243" spans="1:9" ht="12" customHeight="1" thickBot="1" x14ac:dyDescent="0.25">
      <c r="A243" s="240"/>
      <c r="B243" s="241"/>
      <c r="C243" s="242"/>
      <c r="D243" s="317"/>
      <c r="E243" s="317"/>
      <c r="F243" s="244"/>
      <c r="G243" s="245">
        <f>IF(D243&lt;=0,0,$F243/D243*100)</f>
        <v>0</v>
      </c>
      <c r="H243" s="246">
        <f>IF(E243&lt;=0,0,$F243/E243*100)</f>
        <v>0</v>
      </c>
    </row>
    <row r="244" spans="1:9" ht="16.5" thickBot="1" x14ac:dyDescent="0.3">
      <c r="A244" s="247" t="s">
        <v>264</v>
      </c>
      <c r="B244" s="248"/>
      <c r="C244" s="249"/>
      <c r="D244" s="250">
        <f>SUBTOTAL(9,D2:D243)</f>
        <v>8832938</v>
      </c>
      <c r="E244" s="250">
        <f>SUBTOTAL(9,E2:E243)</f>
        <v>9404181</v>
      </c>
      <c r="F244" s="250">
        <f>SUBTOTAL(9,F2:F243)</f>
        <v>8508485</v>
      </c>
      <c r="G244" s="251">
        <f>IF(D244&lt;=0,0,$F244/D244*100)</f>
        <v>96.326782776014056</v>
      </c>
      <c r="H244" s="252">
        <f>IF(E244&lt;=0,0,$F244/E244*100)</f>
        <v>90.475555500260995</v>
      </c>
      <c r="I244" s="177"/>
    </row>
    <row r="245" spans="1:9" x14ac:dyDescent="0.2">
      <c r="D245" s="253"/>
      <c r="E245" s="253"/>
    </row>
    <row r="246" spans="1:9" x14ac:dyDescent="0.2">
      <c r="E246" s="253"/>
      <c r="F246" s="253"/>
    </row>
    <row r="247" spans="1:9" x14ac:dyDescent="0.2">
      <c r="D247" s="253"/>
      <c r="E247" s="253"/>
      <c r="F247" s="253"/>
    </row>
  </sheetData>
  <autoFilter ref="A1:I247"/>
  <mergeCells count="1">
    <mergeCell ref="A20:C20"/>
  </mergeCells>
  <phoneticPr fontId="0" type="noConversion"/>
  <pageMargins left="0.62992125984251968" right="0.51181102362204722" top="0.96" bottom="0.74" header="0.51181102362204722" footer="0.43307086614173229"/>
  <pageSetup paperSize="9" scale="81" fitToHeight="4" orientation="portrait" r:id="rId1"/>
  <headerFooter alignWithMargins="0">
    <oddHeader>&amp;C&amp;"Calibri Light,Obyčejné"&amp;14Čerpání rozpočtu běžných výdajů města k 31.12.2016 (v tis. Kč)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0"/>
  <sheetViews>
    <sheetView showZeros="0" zoomScaleNormal="100" workbookViewId="0"/>
  </sheetViews>
  <sheetFormatPr defaultRowHeight="12.75" x14ac:dyDescent="0.2"/>
  <cols>
    <col min="1" max="1" width="62.28515625" style="339" customWidth="1"/>
    <col min="2" max="2" width="7.28515625" style="339" hidden="1" customWidth="1"/>
    <col min="3" max="4" width="8.85546875" style="339" customWidth="1"/>
    <col min="5" max="5" width="8.85546875" style="339" bestFit="1" customWidth="1"/>
    <col min="6" max="6" width="9.85546875" style="339" customWidth="1"/>
    <col min="7" max="7" width="7.140625" style="339" customWidth="1"/>
    <col min="8" max="16384" width="9.140625" style="339"/>
  </cols>
  <sheetData>
    <row r="1" spans="1:7" ht="13.5" thickBot="1" x14ac:dyDescent="0.25"/>
    <row r="2" spans="1:7" ht="13.5" thickBot="1" x14ac:dyDescent="0.25">
      <c r="A2" s="340" t="s">
        <v>302</v>
      </c>
      <c r="B2" s="341" t="s">
        <v>303</v>
      </c>
      <c r="C2" s="342" t="s">
        <v>275</v>
      </c>
      <c r="D2" s="343" t="s">
        <v>304</v>
      </c>
      <c r="E2" s="344" t="s">
        <v>305</v>
      </c>
      <c r="F2" s="342" t="s">
        <v>306</v>
      </c>
      <c r="G2" s="345" t="s">
        <v>307</v>
      </c>
    </row>
    <row r="3" spans="1:7" x14ac:dyDescent="0.2">
      <c r="A3" s="346" t="s">
        <v>308</v>
      </c>
      <c r="B3" s="347" t="s">
        <v>309</v>
      </c>
      <c r="C3" s="348">
        <v>634676</v>
      </c>
      <c r="D3" s="349">
        <v>666084</v>
      </c>
      <c r="E3" s="350">
        <v>645672</v>
      </c>
      <c r="F3" s="348">
        <f>E3-D3</f>
        <v>-20412</v>
      </c>
      <c r="G3" s="351">
        <f>E3/D3</f>
        <v>0.96935521645918532</v>
      </c>
    </row>
    <row r="4" spans="1:7" x14ac:dyDescent="0.2">
      <c r="A4" s="346" t="s">
        <v>310</v>
      </c>
      <c r="B4" s="347" t="s">
        <v>309</v>
      </c>
      <c r="C4" s="348">
        <v>430</v>
      </c>
      <c r="D4" s="349">
        <v>334</v>
      </c>
      <c r="E4" s="350">
        <v>123</v>
      </c>
      <c r="F4" s="348">
        <f t="shared" ref="F4:F67" si="0">E4-D4</f>
        <v>-211</v>
      </c>
      <c r="G4" s="351">
        <f t="shared" ref="G4:G67" si="1">E4/D4</f>
        <v>0.36826347305389223</v>
      </c>
    </row>
    <row r="5" spans="1:7" x14ac:dyDescent="0.2">
      <c r="A5" s="346" t="s">
        <v>311</v>
      </c>
      <c r="B5" s="347" t="s">
        <v>309</v>
      </c>
      <c r="C5" s="348">
        <v>7014</v>
      </c>
      <c r="D5" s="349">
        <v>9058</v>
      </c>
      <c r="E5" s="350">
        <v>7343</v>
      </c>
      <c r="F5" s="348">
        <f t="shared" si="0"/>
        <v>-1715</v>
      </c>
      <c r="G5" s="351">
        <f t="shared" si="1"/>
        <v>0.81066460587326117</v>
      </c>
    </row>
    <row r="6" spans="1:7" x14ac:dyDescent="0.2">
      <c r="A6" s="346" t="s">
        <v>312</v>
      </c>
      <c r="B6" s="347" t="s">
        <v>309</v>
      </c>
      <c r="C6" s="348">
        <v>15025</v>
      </c>
      <c r="D6" s="349">
        <v>15141</v>
      </c>
      <c r="E6" s="350">
        <v>14938</v>
      </c>
      <c r="F6" s="348">
        <f t="shared" si="0"/>
        <v>-203</v>
      </c>
      <c r="G6" s="351">
        <f t="shared" si="1"/>
        <v>0.98659269533055938</v>
      </c>
    </row>
    <row r="7" spans="1:7" x14ac:dyDescent="0.2">
      <c r="A7" s="346" t="s">
        <v>313</v>
      </c>
      <c r="B7" s="347" t="s">
        <v>309</v>
      </c>
      <c r="C7" s="348">
        <v>750</v>
      </c>
      <c r="D7" s="349">
        <v>754</v>
      </c>
      <c r="E7" s="350">
        <v>754</v>
      </c>
      <c r="F7" s="348">
        <f t="shared" si="0"/>
        <v>0</v>
      </c>
      <c r="G7" s="351">
        <f t="shared" si="1"/>
        <v>1</v>
      </c>
    </row>
    <row r="8" spans="1:7" x14ac:dyDescent="0.2">
      <c r="A8" s="346" t="s">
        <v>314</v>
      </c>
      <c r="B8" s="347" t="s">
        <v>309</v>
      </c>
      <c r="C8" s="348">
        <v>164726</v>
      </c>
      <c r="D8" s="349">
        <v>172863</v>
      </c>
      <c r="E8" s="350">
        <v>166049</v>
      </c>
      <c r="F8" s="348">
        <f t="shared" si="0"/>
        <v>-6814</v>
      </c>
      <c r="G8" s="351">
        <f t="shared" si="1"/>
        <v>0.96058150095740558</v>
      </c>
    </row>
    <row r="9" spans="1:7" x14ac:dyDescent="0.2">
      <c r="A9" s="346" t="s">
        <v>315</v>
      </c>
      <c r="B9" s="347" t="s">
        <v>309</v>
      </c>
      <c r="C9" s="348">
        <v>60041</v>
      </c>
      <c r="D9" s="349">
        <v>62953</v>
      </c>
      <c r="E9" s="350">
        <v>60286</v>
      </c>
      <c r="F9" s="348">
        <f t="shared" si="0"/>
        <v>-2667</v>
      </c>
      <c r="G9" s="351">
        <f t="shared" si="1"/>
        <v>0.95763506107731167</v>
      </c>
    </row>
    <row r="10" spans="1:7" x14ac:dyDescent="0.2">
      <c r="A10" s="346" t="s">
        <v>316</v>
      </c>
      <c r="B10" s="347" t="s">
        <v>309</v>
      </c>
      <c r="C10" s="348">
        <v>2648</v>
      </c>
      <c r="D10" s="349">
        <v>2785</v>
      </c>
      <c r="E10" s="350">
        <v>2744</v>
      </c>
      <c r="F10" s="348">
        <f t="shared" si="0"/>
        <v>-41</v>
      </c>
      <c r="G10" s="351">
        <f t="shared" si="1"/>
        <v>0.98527827648114896</v>
      </c>
    </row>
    <row r="11" spans="1:7" x14ac:dyDescent="0.2">
      <c r="A11" s="346" t="s">
        <v>317</v>
      </c>
      <c r="B11" s="347" t="s">
        <v>309</v>
      </c>
      <c r="C11" s="348">
        <v>81</v>
      </c>
      <c r="D11" s="349">
        <v>41</v>
      </c>
      <c r="E11" s="350">
        <v>18</v>
      </c>
      <c r="F11" s="348">
        <f t="shared" si="0"/>
        <v>-23</v>
      </c>
      <c r="G11" s="351">
        <f t="shared" si="1"/>
        <v>0.43902439024390244</v>
      </c>
    </row>
    <row r="12" spans="1:7" x14ac:dyDescent="0.2">
      <c r="A12" s="346" t="s">
        <v>318</v>
      </c>
      <c r="B12" s="347" t="s">
        <v>309</v>
      </c>
      <c r="C12" s="348">
        <v>83</v>
      </c>
      <c r="D12" s="349">
        <v>88</v>
      </c>
      <c r="E12" s="350">
        <v>67</v>
      </c>
      <c r="F12" s="348">
        <f t="shared" si="0"/>
        <v>-21</v>
      </c>
      <c r="G12" s="351">
        <f t="shared" si="1"/>
        <v>0.76136363636363635</v>
      </c>
    </row>
    <row r="13" spans="1:7" x14ac:dyDescent="0.2">
      <c r="A13" s="346" t="s">
        <v>319</v>
      </c>
      <c r="B13" s="347" t="s">
        <v>320</v>
      </c>
      <c r="C13" s="348">
        <v>500</v>
      </c>
      <c r="D13" s="349">
        <v>491</v>
      </c>
      <c r="E13" s="350">
        <v>375</v>
      </c>
      <c r="F13" s="348">
        <f t="shared" si="0"/>
        <v>-116</v>
      </c>
      <c r="G13" s="351">
        <f t="shared" si="1"/>
        <v>0.76374745417515277</v>
      </c>
    </row>
    <row r="14" spans="1:7" x14ac:dyDescent="0.2">
      <c r="A14" s="346" t="s">
        <v>321</v>
      </c>
      <c r="B14" s="347" t="s">
        <v>320</v>
      </c>
      <c r="C14" s="348">
        <v>320</v>
      </c>
      <c r="D14" s="349">
        <v>320</v>
      </c>
      <c r="E14" s="350">
        <v>135</v>
      </c>
      <c r="F14" s="348">
        <f t="shared" si="0"/>
        <v>-185</v>
      </c>
      <c r="G14" s="351">
        <f t="shared" si="1"/>
        <v>0.421875</v>
      </c>
    </row>
    <row r="15" spans="1:7" x14ac:dyDescent="0.2">
      <c r="A15" s="346" t="s">
        <v>322</v>
      </c>
      <c r="B15" s="347" t="s">
        <v>320</v>
      </c>
      <c r="C15" s="348">
        <v>1339</v>
      </c>
      <c r="D15" s="349">
        <v>1347</v>
      </c>
      <c r="E15" s="350">
        <v>667</v>
      </c>
      <c r="F15" s="348">
        <f t="shared" si="0"/>
        <v>-680</v>
      </c>
      <c r="G15" s="351">
        <f t="shared" si="1"/>
        <v>0.4951744617668894</v>
      </c>
    </row>
    <row r="16" spans="1:7" x14ac:dyDescent="0.2">
      <c r="A16" s="346" t="s">
        <v>323</v>
      </c>
      <c r="B16" s="347" t="s">
        <v>320</v>
      </c>
      <c r="C16" s="348">
        <v>6866</v>
      </c>
      <c r="D16" s="349">
        <v>5435</v>
      </c>
      <c r="E16" s="350">
        <v>5407</v>
      </c>
      <c r="F16" s="348">
        <f t="shared" si="0"/>
        <v>-28</v>
      </c>
      <c r="G16" s="351">
        <f t="shared" si="1"/>
        <v>0.99484820607175717</v>
      </c>
    </row>
    <row r="17" spans="1:7" x14ac:dyDescent="0.2">
      <c r="A17" s="346" t="s">
        <v>324</v>
      </c>
      <c r="B17" s="347" t="s">
        <v>320</v>
      </c>
      <c r="C17" s="348">
        <v>1060</v>
      </c>
      <c r="D17" s="349">
        <v>1127</v>
      </c>
      <c r="E17" s="350">
        <v>904</v>
      </c>
      <c r="F17" s="348">
        <f t="shared" si="0"/>
        <v>-223</v>
      </c>
      <c r="G17" s="351">
        <f t="shared" si="1"/>
        <v>0.80212954747116239</v>
      </c>
    </row>
    <row r="18" spans="1:7" x14ac:dyDescent="0.2">
      <c r="A18" s="346" t="s">
        <v>325</v>
      </c>
      <c r="B18" s="347" t="s">
        <v>320</v>
      </c>
      <c r="C18" s="348">
        <v>20350</v>
      </c>
      <c r="D18" s="349">
        <v>19852</v>
      </c>
      <c r="E18" s="350">
        <v>16707</v>
      </c>
      <c r="F18" s="348">
        <f t="shared" si="0"/>
        <v>-3145</v>
      </c>
      <c r="G18" s="351">
        <f t="shared" si="1"/>
        <v>0.84157767479347168</v>
      </c>
    </row>
    <row r="19" spans="1:7" x14ac:dyDescent="0.2">
      <c r="A19" s="346" t="s">
        <v>326</v>
      </c>
      <c r="B19" s="347" t="s">
        <v>320</v>
      </c>
      <c r="C19" s="348">
        <v>20995</v>
      </c>
      <c r="D19" s="349">
        <v>22590</v>
      </c>
      <c r="E19" s="350">
        <v>18350</v>
      </c>
      <c r="F19" s="348">
        <f t="shared" si="0"/>
        <v>-4240</v>
      </c>
      <c r="G19" s="351">
        <f t="shared" si="1"/>
        <v>0.81230633023461707</v>
      </c>
    </row>
    <row r="20" spans="1:7" x14ac:dyDescent="0.2">
      <c r="A20" s="346" t="s">
        <v>327</v>
      </c>
      <c r="B20" s="347" t="s">
        <v>320</v>
      </c>
      <c r="C20" s="348">
        <v>84000</v>
      </c>
      <c r="D20" s="349">
        <v>83500</v>
      </c>
      <c r="E20" s="350">
        <v>16039</v>
      </c>
      <c r="F20" s="348">
        <f t="shared" si="0"/>
        <v>-67461</v>
      </c>
      <c r="G20" s="351">
        <f t="shared" si="1"/>
        <v>0.19208383233532933</v>
      </c>
    </row>
    <row r="21" spans="1:7" x14ac:dyDescent="0.2">
      <c r="A21" s="346" t="s">
        <v>328</v>
      </c>
      <c r="B21" s="347" t="s">
        <v>320</v>
      </c>
      <c r="C21" s="348">
        <v>200</v>
      </c>
      <c r="D21" s="349">
        <v>700</v>
      </c>
      <c r="E21" s="350">
        <v>619</v>
      </c>
      <c r="F21" s="348">
        <f t="shared" si="0"/>
        <v>-81</v>
      </c>
      <c r="G21" s="351">
        <f t="shared" si="1"/>
        <v>0.88428571428571423</v>
      </c>
    </row>
    <row r="22" spans="1:7" x14ac:dyDescent="0.2">
      <c r="A22" s="346" t="s">
        <v>329</v>
      </c>
      <c r="B22" s="347" t="s">
        <v>320</v>
      </c>
      <c r="C22" s="348">
        <v>60000</v>
      </c>
      <c r="D22" s="349">
        <v>60000</v>
      </c>
      <c r="E22" s="350">
        <v>42189</v>
      </c>
      <c r="F22" s="348">
        <f t="shared" si="0"/>
        <v>-17811</v>
      </c>
      <c r="G22" s="351">
        <f t="shared" si="1"/>
        <v>0.70315000000000005</v>
      </c>
    </row>
    <row r="23" spans="1:7" x14ac:dyDescent="0.2">
      <c r="A23" s="346" t="s">
        <v>330</v>
      </c>
      <c r="B23" s="347" t="s">
        <v>320</v>
      </c>
      <c r="C23" s="348">
        <v>10076</v>
      </c>
      <c r="D23" s="349">
        <v>10287</v>
      </c>
      <c r="E23" s="350">
        <v>9145</v>
      </c>
      <c r="F23" s="348">
        <f t="shared" si="0"/>
        <v>-1142</v>
      </c>
      <c r="G23" s="351">
        <f t="shared" si="1"/>
        <v>0.88898609895985226</v>
      </c>
    </row>
    <row r="24" spans="1:7" x14ac:dyDescent="0.2">
      <c r="A24" s="346" t="s">
        <v>331</v>
      </c>
      <c r="B24" s="347" t="s">
        <v>320</v>
      </c>
      <c r="C24" s="348">
        <v>28707</v>
      </c>
      <c r="D24" s="349">
        <v>29185</v>
      </c>
      <c r="E24" s="350">
        <v>27982</v>
      </c>
      <c r="F24" s="348">
        <f t="shared" si="0"/>
        <v>-1203</v>
      </c>
      <c r="G24" s="351">
        <f t="shared" si="1"/>
        <v>0.95878019530580783</v>
      </c>
    </row>
    <row r="25" spans="1:7" x14ac:dyDescent="0.2">
      <c r="A25" s="346" t="s">
        <v>332</v>
      </c>
      <c r="B25" s="347" t="s">
        <v>320</v>
      </c>
      <c r="C25" s="348">
        <v>6998</v>
      </c>
      <c r="D25" s="349">
        <v>6798</v>
      </c>
      <c r="E25" s="350">
        <v>5074</v>
      </c>
      <c r="F25" s="348">
        <f t="shared" si="0"/>
        <v>-1724</v>
      </c>
      <c r="G25" s="351">
        <f t="shared" si="1"/>
        <v>0.7463959988231833</v>
      </c>
    </row>
    <row r="26" spans="1:7" x14ac:dyDescent="0.2">
      <c r="A26" s="346" t="s">
        <v>333</v>
      </c>
      <c r="B26" s="347" t="s">
        <v>320</v>
      </c>
      <c r="C26" s="348">
        <v>19532</v>
      </c>
      <c r="D26" s="349">
        <v>19136</v>
      </c>
      <c r="E26" s="350">
        <v>15435</v>
      </c>
      <c r="F26" s="348">
        <f t="shared" si="0"/>
        <v>-3701</v>
      </c>
      <c r="G26" s="351">
        <f t="shared" si="1"/>
        <v>0.80659489966555187</v>
      </c>
    </row>
    <row r="27" spans="1:7" x14ac:dyDescent="0.2">
      <c r="A27" s="346" t="s">
        <v>334</v>
      </c>
      <c r="B27" s="347" t="s">
        <v>320</v>
      </c>
      <c r="C27" s="348">
        <v>7369</v>
      </c>
      <c r="D27" s="349">
        <v>6116</v>
      </c>
      <c r="E27" s="350">
        <v>5545</v>
      </c>
      <c r="F27" s="348">
        <f t="shared" si="0"/>
        <v>-571</v>
      </c>
      <c r="G27" s="351">
        <f t="shared" si="1"/>
        <v>0.9066383257030739</v>
      </c>
    </row>
    <row r="28" spans="1:7" x14ac:dyDescent="0.2">
      <c r="A28" s="346" t="s">
        <v>335</v>
      </c>
      <c r="B28" s="347" t="s">
        <v>320</v>
      </c>
      <c r="C28" s="348">
        <v>10</v>
      </c>
      <c r="D28" s="349">
        <v>13</v>
      </c>
      <c r="E28" s="350">
        <v>11</v>
      </c>
      <c r="F28" s="348">
        <f t="shared" si="0"/>
        <v>-2</v>
      </c>
      <c r="G28" s="351">
        <f t="shared" si="1"/>
        <v>0.84615384615384615</v>
      </c>
    </row>
    <row r="29" spans="1:7" x14ac:dyDescent="0.2">
      <c r="A29" s="346" t="s">
        <v>336</v>
      </c>
      <c r="B29" s="347" t="s">
        <v>320</v>
      </c>
      <c r="C29" s="348">
        <v>4816</v>
      </c>
      <c r="D29" s="349">
        <v>4786</v>
      </c>
      <c r="E29" s="350">
        <v>4599</v>
      </c>
      <c r="F29" s="348">
        <f t="shared" si="0"/>
        <v>-187</v>
      </c>
      <c r="G29" s="351">
        <f t="shared" si="1"/>
        <v>0.96092770580860842</v>
      </c>
    </row>
    <row r="30" spans="1:7" x14ac:dyDescent="0.2">
      <c r="A30" s="346" t="s">
        <v>337</v>
      </c>
      <c r="B30" s="347" t="s">
        <v>320</v>
      </c>
      <c r="C30" s="348">
        <v>5706</v>
      </c>
      <c r="D30" s="349">
        <v>5722</v>
      </c>
      <c r="E30" s="350">
        <v>4334</v>
      </c>
      <c r="F30" s="348">
        <f t="shared" si="0"/>
        <v>-1388</v>
      </c>
      <c r="G30" s="351">
        <f t="shared" si="1"/>
        <v>0.75742747291156942</v>
      </c>
    </row>
    <row r="31" spans="1:7" x14ac:dyDescent="0.2">
      <c r="A31" s="346" t="s">
        <v>338</v>
      </c>
      <c r="B31" s="347" t="s">
        <v>320</v>
      </c>
      <c r="C31" s="348">
        <v>4587</v>
      </c>
      <c r="D31" s="349">
        <v>5280</v>
      </c>
      <c r="E31" s="350">
        <v>4327</v>
      </c>
      <c r="F31" s="348">
        <f t="shared" si="0"/>
        <v>-953</v>
      </c>
      <c r="G31" s="351">
        <f t="shared" si="1"/>
        <v>0.81950757575757571</v>
      </c>
    </row>
    <row r="32" spans="1:7" x14ac:dyDescent="0.2">
      <c r="A32" s="346" t="s">
        <v>339</v>
      </c>
      <c r="B32" s="347" t="s">
        <v>320</v>
      </c>
      <c r="C32" s="348">
        <v>9726</v>
      </c>
      <c r="D32" s="349">
        <v>10626</v>
      </c>
      <c r="E32" s="350">
        <v>8926</v>
      </c>
      <c r="F32" s="348">
        <f t="shared" si="0"/>
        <v>-1700</v>
      </c>
      <c r="G32" s="351">
        <f t="shared" si="1"/>
        <v>0.84001505740636173</v>
      </c>
    </row>
    <row r="33" spans="1:7" x14ac:dyDescent="0.2">
      <c r="A33" s="346" t="s">
        <v>340</v>
      </c>
      <c r="B33" s="347" t="s">
        <v>320</v>
      </c>
      <c r="C33" s="348">
        <v>107390</v>
      </c>
      <c r="D33" s="349">
        <v>74263</v>
      </c>
      <c r="E33" s="350">
        <v>44778</v>
      </c>
      <c r="F33" s="348">
        <f t="shared" si="0"/>
        <v>-29485</v>
      </c>
      <c r="G33" s="351">
        <f t="shared" si="1"/>
        <v>0.60296513741701785</v>
      </c>
    </row>
    <row r="34" spans="1:7" x14ac:dyDescent="0.2">
      <c r="A34" s="346" t="s">
        <v>341</v>
      </c>
      <c r="B34" s="347" t="s">
        <v>320</v>
      </c>
      <c r="C34" s="348">
        <v>8407</v>
      </c>
      <c r="D34" s="349">
        <v>8537</v>
      </c>
      <c r="E34" s="350">
        <v>6348</v>
      </c>
      <c r="F34" s="348">
        <f t="shared" si="0"/>
        <v>-2189</v>
      </c>
      <c r="G34" s="351">
        <f t="shared" si="1"/>
        <v>0.74358674007262504</v>
      </c>
    </row>
    <row r="35" spans="1:7" x14ac:dyDescent="0.2">
      <c r="A35" s="346" t="s">
        <v>342</v>
      </c>
      <c r="B35" s="347" t="s">
        <v>320</v>
      </c>
      <c r="C35" s="348">
        <v>175831</v>
      </c>
      <c r="D35" s="349">
        <v>192498</v>
      </c>
      <c r="E35" s="350">
        <v>163999</v>
      </c>
      <c r="F35" s="348">
        <f t="shared" si="0"/>
        <v>-28499</v>
      </c>
      <c r="G35" s="351">
        <f t="shared" si="1"/>
        <v>0.85195170858918012</v>
      </c>
    </row>
    <row r="36" spans="1:7" x14ac:dyDescent="0.2">
      <c r="A36" s="346" t="s">
        <v>343</v>
      </c>
      <c r="B36" s="347" t="s">
        <v>320</v>
      </c>
      <c r="C36" s="348">
        <v>912169</v>
      </c>
      <c r="D36" s="349">
        <v>945894</v>
      </c>
      <c r="E36" s="350">
        <v>848337</v>
      </c>
      <c r="F36" s="348">
        <f t="shared" si="0"/>
        <v>-97557</v>
      </c>
      <c r="G36" s="351">
        <f t="shared" si="1"/>
        <v>0.89686265057184</v>
      </c>
    </row>
    <row r="37" spans="1:7" x14ac:dyDescent="0.2">
      <c r="A37" s="346" t="s">
        <v>344</v>
      </c>
      <c r="B37" s="347" t="s">
        <v>320</v>
      </c>
      <c r="C37" s="348">
        <v>483916</v>
      </c>
      <c r="D37" s="349">
        <v>545005</v>
      </c>
      <c r="E37" s="350">
        <v>525976</v>
      </c>
      <c r="F37" s="348">
        <f t="shared" si="0"/>
        <v>-19029</v>
      </c>
      <c r="G37" s="351">
        <f t="shared" si="1"/>
        <v>0.96508472399335787</v>
      </c>
    </row>
    <row r="38" spans="1:7" x14ac:dyDescent="0.2">
      <c r="A38" s="346" t="s">
        <v>345</v>
      </c>
      <c r="B38" s="347" t="s">
        <v>320</v>
      </c>
      <c r="C38" s="348">
        <v>700</v>
      </c>
      <c r="D38" s="349">
        <v>820</v>
      </c>
      <c r="E38" s="350">
        <v>274</v>
      </c>
      <c r="F38" s="348">
        <f t="shared" si="0"/>
        <v>-546</v>
      </c>
      <c r="G38" s="351">
        <f t="shared" si="1"/>
        <v>0.33414634146341465</v>
      </c>
    </row>
    <row r="39" spans="1:7" x14ac:dyDescent="0.2">
      <c r="A39" s="346" t="s">
        <v>346</v>
      </c>
      <c r="B39" s="347" t="s">
        <v>320</v>
      </c>
      <c r="C39" s="348">
        <v>6805</v>
      </c>
      <c r="D39" s="349">
        <v>8140</v>
      </c>
      <c r="E39" s="350">
        <v>7261</v>
      </c>
      <c r="F39" s="348">
        <f t="shared" si="0"/>
        <v>-879</v>
      </c>
      <c r="G39" s="351">
        <f t="shared" si="1"/>
        <v>0.89201474201474207</v>
      </c>
    </row>
    <row r="40" spans="1:7" x14ac:dyDescent="0.2">
      <c r="A40" s="346" t="s">
        <v>347</v>
      </c>
      <c r="B40" s="347" t="s">
        <v>320</v>
      </c>
      <c r="C40" s="348">
        <v>4652</v>
      </c>
      <c r="D40" s="349">
        <v>4985</v>
      </c>
      <c r="E40" s="350">
        <v>3883</v>
      </c>
      <c r="F40" s="348">
        <f t="shared" si="0"/>
        <v>-1102</v>
      </c>
      <c r="G40" s="351">
        <f t="shared" si="1"/>
        <v>0.77893681043129392</v>
      </c>
    </row>
    <row r="41" spans="1:7" x14ac:dyDescent="0.2">
      <c r="A41" s="346" t="s">
        <v>348</v>
      </c>
      <c r="B41" s="347" t="s">
        <v>320</v>
      </c>
      <c r="C41" s="348">
        <v>515</v>
      </c>
      <c r="D41" s="349">
        <v>568</v>
      </c>
      <c r="E41" s="350">
        <v>415</v>
      </c>
      <c r="F41" s="348">
        <f t="shared" si="0"/>
        <v>-153</v>
      </c>
      <c r="G41" s="351">
        <f t="shared" si="1"/>
        <v>0.73063380281690138</v>
      </c>
    </row>
    <row r="42" spans="1:7" x14ac:dyDescent="0.2">
      <c r="A42" s="346" t="s">
        <v>349</v>
      </c>
      <c r="B42" s="347" t="s">
        <v>320</v>
      </c>
      <c r="C42" s="348">
        <v>4628</v>
      </c>
      <c r="D42" s="349">
        <v>5248</v>
      </c>
      <c r="E42" s="350">
        <v>4482</v>
      </c>
      <c r="F42" s="348">
        <f t="shared" si="0"/>
        <v>-766</v>
      </c>
      <c r="G42" s="351">
        <f t="shared" si="1"/>
        <v>0.85403963414634143</v>
      </c>
    </row>
    <row r="43" spans="1:7" x14ac:dyDescent="0.2">
      <c r="A43" s="346" t="s">
        <v>350</v>
      </c>
      <c r="B43" s="347"/>
      <c r="C43" s="348"/>
      <c r="D43" s="349">
        <v>2</v>
      </c>
      <c r="E43" s="350">
        <v>1</v>
      </c>
      <c r="F43" s="348">
        <f t="shared" si="0"/>
        <v>-1</v>
      </c>
      <c r="G43" s="351">
        <f t="shared" si="1"/>
        <v>0.5</v>
      </c>
    </row>
    <row r="44" spans="1:7" x14ac:dyDescent="0.2">
      <c r="A44" s="346" t="s">
        <v>351</v>
      </c>
      <c r="B44" s="347" t="s">
        <v>320</v>
      </c>
      <c r="C44" s="348">
        <v>14113</v>
      </c>
      <c r="D44" s="349">
        <v>14479</v>
      </c>
      <c r="E44" s="350">
        <v>8426</v>
      </c>
      <c r="F44" s="348">
        <f t="shared" si="0"/>
        <v>-6053</v>
      </c>
      <c r="G44" s="351">
        <f t="shared" si="1"/>
        <v>0.58194626700739005</v>
      </c>
    </row>
    <row r="45" spans="1:7" x14ac:dyDescent="0.2">
      <c r="A45" s="346" t="s">
        <v>352</v>
      </c>
      <c r="B45" s="347" t="s">
        <v>320</v>
      </c>
      <c r="C45" s="348">
        <v>2169</v>
      </c>
      <c r="D45" s="349">
        <v>2506</v>
      </c>
      <c r="E45" s="350">
        <v>1823</v>
      </c>
      <c r="F45" s="348">
        <f t="shared" si="0"/>
        <v>-683</v>
      </c>
      <c r="G45" s="351">
        <f t="shared" si="1"/>
        <v>0.7274541101356744</v>
      </c>
    </row>
    <row r="46" spans="1:7" x14ac:dyDescent="0.2">
      <c r="A46" s="346" t="s">
        <v>353</v>
      </c>
      <c r="B46" s="347" t="s">
        <v>320</v>
      </c>
      <c r="C46" s="348">
        <v>400</v>
      </c>
      <c r="D46" s="349">
        <v>580</v>
      </c>
      <c r="E46" s="350">
        <v>580</v>
      </c>
      <c r="F46" s="348">
        <f t="shared" si="0"/>
        <v>0</v>
      </c>
      <c r="G46" s="351">
        <f t="shared" si="1"/>
        <v>1</v>
      </c>
    </row>
    <row r="47" spans="1:7" x14ac:dyDescent="0.2">
      <c r="A47" s="346" t="s">
        <v>354</v>
      </c>
      <c r="B47" s="347" t="s">
        <v>355</v>
      </c>
      <c r="C47" s="348">
        <v>340</v>
      </c>
      <c r="D47" s="349">
        <v>1375</v>
      </c>
      <c r="E47" s="350">
        <v>1375</v>
      </c>
      <c r="F47" s="348">
        <f t="shared" si="0"/>
        <v>0</v>
      </c>
      <c r="G47" s="351">
        <f t="shared" si="1"/>
        <v>1</v>
      </c>
    </row>
    <row r="48" spans="1:7" x14ac:dyDescent="0.2">
      <c r="A48" s="346" t="s">
        <v>356</v>
      </c>
      <c r="B48" s="347" t="s">
        <v>355</v>
      </c>
      <c r="C48" s="348">
        <v>1999407</v>
      </c>
      <c r="D48" s="349">
        <v>2050288</v>
      </c>
      <c r="E48" s="350">
        <v>1659437</v>
      </c>
      <c r="F48" s="348">
        <f t="shared" si="0"/>
        <v>-390851</v>
      </c>
      <c r="G48" s="351">
        <f t="shared" si="1"/>
        <v>0.80936775711509801</v>
      </c>
    </row>
    <row r="49" spans="1:7" x14ac:dyDescent="0.2">
      <c r="A49" s="346" t="s">
        <v>357</v>
      </c>
      <c r="B49" s="347" t="s">
        <v>355</v>
      </c>
      <c r="C49" s="348">
        <v>8360</v>
      </c>
      <c r="D49" s="349">
        <v>2705</v>
      </c>
      <c r="E49" s="350">
        <v>2061</v>
      </c>
      <c r="F49" s="348">
        <f t="shared" si="0"/>
        <v>-644</v>
      </c>
      <c r="G49" s="351">
        <f t="shared" si="1"/>
        <v>0.76192236598890939</v>
      </c>
    </row>
    <row r="50" spans="1:7" x14ac:dyDescent="0.2">
      <c r="A50" s="346" t="s">
        <v>358</v>
      </c>
      <c r="B50" s="347" t="s">
        <v>355</v>
      </c>
      <c r="C50" s="348">
        <v>3463</v>
      </c>
      <c r="D50" s="349">
        <v>31153</v>
      </c>
      <c r="E50" s="350">
        <v>31152</v>
      </c>
      <c r="F50" s="348">
        <f t="shared" si="0"/>
        <v>-1</v>
      </c>
      <c r="G50" s="351">
        <f t="shared" si="1"/>
        <v>0.99996790036272587</v>
      </c>
    </row>
    <row r="51" spans="1:7" x14ac:dyDescent="0.2">
      <c r="A51" s="346" t="s">
        <v>359</v>
      </c>
      <c r="B51" s="347" t="s">
        <v>355</v>
      </c>
      <c r="C51" s="348">
        <v>283686</v>
      </c>
      <c r="D51" s="349">
        <v>227672</v>
      </c>
      <c r="E51" s="350">
        <v>224564</v>
      </c>
      <c r="F51" s="348">
        <f t="shared" si="0"/>
        <v>-3108</v>
      </c>
      <c r="G51" s="351">
        <f t="shared" si="1"/>
        <v>0.98634878245897606</v>
      </c>
    </row>
    <row r="52" spans="1:7" x14ac:dyDescent="0.2">
      <c r="A52" s="346" t="s">
        <v>360</v>
      </c>
      <c r="B52" s="347" t="s">
        <v>355</v>
      </c>
      <c r="C52" s="348">
        <v>2848</v>
      </c>
      <c r="D52" s="349">
        <v>24546</v>
      </c>
      <c r="E52" s="350">
        <v>24519</v>
      </c>
      <c r="F52" s="348">
        <f t="shared" si="0"/>
        <v>-27</v>
      </c>
      <c r="G52" s="351">
        <f t="shared" si="1"/>
        <v>0.99890002444390125</v>
      </c>
    </row>
    <row r="53" spans="1:7" x14ac:dyDescent="0.2">
      <c r="A53" s="346" t="s">
        <v>361</v>
      </c>
      <c r="B53" s="347" t="s">
        <v>355</v>
      </c>
      <c r="C53" s="348">
        <v>182000</v>
      </c>
      <c r="D53" s="349">
        <v>182000</v>
      </c>
      <c r="E53" s="350">
        <v>106215</v>
      </c>
      <c r="F53" s="348">
        <f t="shared" si="0"/>
        <v>-75785</v>
      </c>
      <c r="G53" s="351">
        <f t="shared" si="1"/>
        <v>0.58359890109890111</v>
      </c>
    </row>
    <row r="54" spans="1:7" ht="13.5" thickBot="1" x14ac:dyDescent="0.25">
      <c r="A54" s="352" t="s">
        <v>362</v>
      </c>
      <c r="B54" s="353" t="s">
        <v>363</v>
      </c>
      <c r="C54" s="354">
        <v>53699</v>
      </c>
      <c r="D54" s="355">
        <v>46971</v>
      </c>
      <c r="E54" s="356">
        <v>40009</v>
      </c>
      <c r="F54" s="354">
        <f t="shared" si="0"/>
        <v>-6962</v>
      </c>
      <c r="G54" s="357">
        <f t="shared" si="1"/>
        <v>0.85178088607864422</v>
      </c>
    </row>
    <row r="55" spans="1:7" x14ac:dyDescent="0.2">
      <c r="A55" s="346" t="s">
        <v>364</v>
      </c>
      <c r="B55" s="347" t="s">
        <v>363</v>
      </c>
      <c r="C55" s="348">
        <v>3000</v>
      </c>
      <c r="D55" s="349">
        <v>3000</v>
      </c>
      <c r="E55" s="350">
        <v>3000</v>
      </c>
      <c r="F55" s="348">
        <f t="shared" si="0"/>
        <v>0</v>
      </c>
      <c r="G55" s="351">
        <f t="shared" si="1"/>
        <v>1</v>
      </c>
    </row>
    <row r="56" spans="1:7" x14ac:dyDescent="0.2">
      <c r="A56" s="346" t="s">
        <v>365</v>
      </c>
      <c r="B56" s="347" t="s">
        <v>363</v>
      </c>
      <c r="C56" s="348">
        <v>14000</v>
      </c>
      <c r="D56" s="349">
        <v>14000</v>
      </c>
      <c r="E56" s="350">
        <v>14000</v>
      </c>
      <c r="F56" s="348">
        <f t="shared" si="0"/>
        <v>0</v>
      </c>
      <c r="G56" s="351">
        <f t="shared" si="1"/>
        <v>1</v>
      </c>
    </row>
    <row r="57" spans="1:7" x14ac:dyDescent="0.2">
      <c r="A57" s="346" t="s">
        <v>366</v>
      </c>
      <c r="B57" s="347" t="s">
        <v>363</v>
      </c>
      <c r="C57" s="348">
        <v>1660</v>
      </c>
      <c r="D57" s="349">
        <v>1660</v>
      </c>
      <c r="E57" s="350">
        <v>1660</v>
      </c>
      <c r="F57" s="348">
        <f t="shared" si="0"/>
        <v>0</v>
      </c>
      <c r="G57" s="351">
        <f t="shared" si="1"/>
        <v>1</v>
      </c>
    </row>
    <row r="58" spans="1:7" x14ac:dyDescent="0.2">
      <c r="A58" s="346" t="s">
        <v>367</v>
      </c>
      <c r="B58" s="347" t="s">
        <v>363</v>
      </c>
      <c r="C58" s="348">
        <v>1390772</v>
      </c>
      <c r="D58" s="349">
        <v>1526360</v>
      </c>
      <c r="E58" s="350">
        <v>1525788</v>
      </c>
      <c r="F58" s="348">
        <f t="shared" si="0"/>
        <v>-572</v>
      </c>
      <c r="G58" s="351">
        <f t="shared" si="1"/>
        <v>0.99962525223407317</v>
      </c>
    </row>
    <row r="59" spans="1:7" x14ac:dyDescent="0.2">
      <c r="A59" s="346" t="s">
        <v>368</v>
      </c>
      <c r="B59" s="347" t="s">
        <v>363</v>
      </c>
      <c r="C59" s="348">
        <v>1120</v>
      </c>
      <c r="D59" s="349">
        <v>2742</v>
      </c>
      <c r="E59" s="350">
        <v>2652</v>
      </c>
      <c r="F59" s="348">
        <f t="shared" si="0"/>
        <v>-90</v>
      </c>
      <c r="G59" s="351">
        <f t="shared" si="1"/>
        <v>0.96717724288840268</v>
      </c>
    </row>
    <row r="60" spans="1:7" x14ac:dyDescent="0.2">
      <c r="A60" s="346" t="s">
        <v>369</v>
      </c>
      <c r="B60" s="347" t="s">
        <v>363</v>
      </c>
      <c r="C60" s="348">
        <v>0</v>
      </c>
      <c r="D60" s="349">
        <v>40</v>
      </c>
      <c r="E60" s="350">
        <v>40</v>
      </c>
      <c r="F60" s="348">
        <f t="shared" si="0"/>
        <v>0</v>
      </c>
      <c r="G60" s="351">
        <f t="shared" si="1"/>
        <v>1</v>
      </c>
    </row>
    <row r="61" spans="1:7" x14ac:dyDescent="0.2">
      <c r="A61" s="346" t="s">
        <v>370</v>
      </c>
      <c r="B61" s="347" t="s">
        <v>363</v>
      </c>
      <c r="C61" s="348">
        <v>0</v>
      </c>
      <c r="D61" s="349">
        <v>173152</v>
      </c>
      <c r="E61" s="350">
        <v>173153</v>
      </c>
      <c r="F61" s="348">
        <f t="shared" si="0"/>
        <v>1</v>
      </c>
      <c r="G61" s="351">
        <f t="shared" si="1"/>
        <v>1.0000057752725928</v>
      </c>
    </row>
    <row r="62" spans="1:7" x14ac:dyDescent="0.2">
      <c r="A62" s="346" t="s">
        <v>371</v>
      </c>
      <c r="B62" s="347" t="s">
        <v>363</v>
      </c>
      <c r="C62" s="348">
        <v>10827</v>
      </c>
      <c r="D62" s="349">
        <v>12159</v>
      </c>
      <c r="E62" s="350">
        <v>12144</v>
      </c>
      <c r="F62" s="348">
        <f t="shared" si="0"/>
        <v>-15</v>
      </c>
      <c r="G62" s="351">
        <f t="shared" si="1"/>
        <v>0.99876634591660496</v>
      </c>
    </row>
    <row r="63" spans="1:7" x14ac:dyDescent="0.2">
      <c r="A63" s="346" t="s">
        <v>372</v>
      </c>
      <c r="B63" s="347" t="s">
        <v>363</v>
      </c>
      <c r="C63" s="348">
        <v>32050</v>
      </c>
      <c r="D63" s="349">
        <v>17905</v>
      </c>
      <c r="E63" s="350">
        <v>0</v>
      </c>
      <c r="F63" s="348">
        <f t="shared" si="0"/>
        <v>-17905</v>
      </c>
      <c r="G63" s="351">
        <f t="shared" si="1"/>
        <v>0</v>
      </c>
    </row>
    <row r="64" spans="1:7" x14ac:dyDescent="0.2">
      <c r="A64" s="346" t="s">
        <v>373</v>
      </c>
      <c r="B64" s="347"/>
      <c r="C64" s="348"/>
      <c r="D64" s="349"/>
      <c r="E64" s="350">
        <v>21716</v>
      </c>
      <c r="F64" s="348"/>
      <c r="G64" s="351"/>
    </row>
    <row r="65" spans="1:7" x14ac:dyDescent="0.2">
      <c r="A65" s="346" t="s">
        <v>374</v>
      </c>
      <c r="B65" s="347" t="s">
        <v>363</v>
      </c>
      <c r="C65" s="348">
        <v>1137436</v>
      </c>
      <c r="D65" s="349">
        <v>1714300</v>
      </c>
      <c r="E65" s="350">
        <v>1708353</v>
      </c>
      <c r="F65" s="348">
        <f t="shared" si="0"/>
        <v>-5947</v>
      </c>
      <c r="G65" s="351">
        <f t="shared" si="1"/>
        <v>0.99653094557545352</v>
      </c>
    </row>
    <row r="66" spans="1:7" x14ac:dyDescent="0.2">
      <c r="A66" s="346" t="s">
        <v>375</v>
      </c>
      <c r="B66" s="347" t="s">
        <v>363</v>
      </c>
      <c r="C66" s="348">
        <v>1371</v>
      </c>
      <c r="D66" s="349">
        <v>1271</v>
      </c>
      <c r="E66" s="350">
        <v>847</v>
      </c>
      <c r="F66" s="348">
        <f t="shared" si="0"/>
        <v>-424</v>
      </c>
      <c r="G66" s="351">
        <f t="shared" si="1"/>
        <v>0.66640440597954365</v>
      </c>
    </row>
    <row r="67" spans="1:7" x14ac:dyDescent="0.2">
      <c r="A67" s="346" t="s">
        <v>376</v>
      </c>
      <c r="B67" s="347" t="s">
        <v>363</v>
      </c>
      <c r="C67" s="348">
        <v>405176</v>
      </c>
      <c r="D67" s="349">
        <v>54978</v>
      </c>
      <c r="E67" s="350">
        <v>31970</v>
      </c>
      <c r="F67" s="348">
        <f t="shared" si="0"/>
        <v>-23008</v>
      </c>
      <c r="G67" s="351">
        <f t="shared" si="1"/>
        <v>0.58150532940448907</v>
      </c>
    </row>
    <row r="68" spans="1:7" x14ac:dyDescent="0.2">
      <c r="A68" s="346" t="s">
        <v>377</v>
      </c>
      <c r="B68" s="347" t="s">
        <v>363</v>
      </c>
      <c r="C68" s="348">
        <v>2</v>
      </c>
      <c r="D68" s="349">
        <v>694</v>
      </c>
      <c r="E68" s="350">
        <v>727</v>
      </c>
      <c r="F68" s="348">
        <f t="shared" ref="F68:F131" si="2">E68-D68</f>
        <v>33</v>
      </c>
      <c r="G68" s="351">
        <f t="shared" ref="G68:G131" si="3">E68/D68</f>
        <v>1.0475504322766571</v>
      </c>
    </row>
    <row r="69" spans="1:7" ht="25.5" x14ac:dyDescent="0.2">
      <c r="A69" s="358" t="s">
        <v>378</v>
      </c>
      <c r="B69" s="347"/>
      <c r="C69" s="348"/>
      <c r="D69" s="349">
        <v>18</v>
      </c>
      <c r="E69" s="350">
        <v>18</v>
      </c>
      <c r="F69" s="348">
        <f t="shared" si="2"/>
        <v>0</v>
      </c>
      <c r="G69" s="351">
        <f t="shared" si="3"/>
        <v>1</v>
      </c>
    </row>
    <row r="70" spans="1:7" x14ac:dyDescent="0.2">
      <c r="A70" s="346" t="s">
        <v>379</v>
      </c>
      <c r="B70" s="347" t="s">
        <v>363</v>
      </c>
      <c r="C70" s="348">
        <v>31</v>
      </c>
      <c r="D70" s="349">
        <v>130564</v>
      </c>
      <c r="E70" s="350">
        <v>130544</v>
      </c>
      <c r="F70" s="348">
        <f t="shared" si="2"/>
        <v>-20</v>
      </c>
      <c r="G70" s="351">
        <f t="shared" si="3"/>
        <v>0.99984681841855338</v>
      </c>
    </row>
    <row r="71" spans="1:7" x14ac:dyDescent="0.2">
      <c r="A71" s="346" t="s">
        <v>380</v>
      </c>
      <c r="B71" s="347" t="s">
        <v>363</v>
      </c>
      <c r="C71" s="348">
        <v>0</v>
      </c>
      <c r="D71" s="349">
        <v>2088</v>
      </c>
      <c r="E71" s="350">
        <v>2088</v>
      </c>
      <c r="F71" s="348">
        <f t="shared" si="2"/>
        <v>0</v>
      </c>
      <c r="G71" s="351">
        <f t="shared" si="3"/>
        <v>1</v>
      </c>
    </row>
    <row r="72" spans="1:7" x14ac:dyDescent="0.2">
      <c r="A72" s="346" t="s">
        <v>381</v>
      </c>
      <c r="B72" s="347" t="s">
        <v>363</v>
      </c>
      <c r="C72" s="348">
        <v>0</v>
      </c>
      <c r="D72" s="349">
        <v>378</v>
      </c>
      <c r="E72" s="350">
        <v>378</v>
      </c>
      <c r="F72" s="348">
        <f t="shared" si="2"/>
        <v>0</v>
      </c>
      <c r="G72" s="351">
        <f t="shared" si="3"/>
        <v>1</v>
      </c>
    </row>
    <row r="73" spans="1:7" x14ac:dyDescent="0.2">
      <c r="A73" s="346" t="s">
        <v>382</v>
      </c>
      <c r="B73" s="347" t="s">
        <v>383</v>
      </c>
      <c r="C73" s="348">
        <v>3613</v>
      </c>
      <c r="D73" s="349">
        <v>3630</v>
      </c>
      <c r="E73" s="350">
        <v>2698</v>
      </c>
      <c r="F73" s="348">
        <f t="shared" si="2"/>
        <v>-932</v>
      </c>
      <c r="G73" s="351">
        <f t="shared" si="3"/>
        <v>0.74325068870523414</v>
      </c>
    </row>
    <row r="74" spans="1:7" x14ac:dyDescent="0.2">
      <c r="A74" s="346" t="s">
        <v>384</v>
      </c>
      <c r="B74" s="347" t="s">
        <v>383</v>
      </c>
      <c r="C74" s="348">
        <v>513</v>
      </c>
      <c r="D74" s="349">
        <v>505</v>
      </c>
      <c r="E74" s="350">
        <v>80</v>
      </c>
      <c r="F74" s="348">
        <f t="shared" si="2"/>
        <v>-425</v>
      </c>
      <c r="G74" s="351">
        <f t="shared" si="3"/>
        <v>0.15841584158415842</v>
      </c>
    </row>
    <row r="75" spans="1:7" x14ac:dyDescent="0.2">
      <c r="A75" s="346" t="s">
        <v>385</v>
      </c>
      <c r="B75" s="347" t="s">
        <v>383</v>
      </c>
      <c r="C75" s="348">
        <v>295</v>
      </c>
      <c r="D75" s="349">
        <v>310</v>
      </c>
      <c r="E75" s="350">
        <v>266</v>
      </c>
      <c r="F75" s="348">
        <f t="shared" si="2"/>
        <v>-44</v>
      </c>
      <c r="G75" s="351">
        <f t="shared" si="3"/>
        <v>0.85806451612903223</v>
      </c>
    </row>
    <row r="76" spans="1:7" x14ac:dyDescent="0.2">
      <c r="A76" s="346" t="s">
        <v>386</v>
      </c>
      <c r="B76" s="347" t="s">
        <v>383</v>
      </c>
      <c r="C76" s="348">
        <v>15712</v>
      </c>
      <c r="D76" s="349">
        <v>5409</v>
      </c>
      <c r="E76" s="350">
        <v>5149</v>
      </c>
      <c r="F76" s="348">
        <f t="shared" si="2"/>
        <v>-260</v>
      </c>
      <c r="G76" s="351">
        <f t="shared" si="3"/>
        <v>0.9519319652431133</v>
      </c>
    </row>
    <row r="77" spans="1:7" x14ac:dyDescent="0.2">
      <c r="A77" s="346" t="s">
        <v>387</v>
      </c>
      <c r="B77" s="347"/>
      <c r="C77" s="348"/>
      <c r="D77" s="349">
        <v>7</v>
      </c>
      <c r="E77" s="350">
        <v>6</v>
      </c>
      <c r="F77" s="348">
        <f t="shared" si="2"/>
        <v>-1</v>
      </c>
      <c r="G77" s="351">
        <f t="shared" si="3"/>
        <v>0.8571428571428571</v>
      </c>
    </row>
    <row r="78" spans="1:7" x14ac:dyDescent="0.2">
      <c r="A78" s="346" t="s">
        <v>388</v>
      </c>
      <c r="B78" s="347" t="s">
        <v>383</v>
      </c>
      <c r="C78" s="348">
        <v>18152</v>
      </c>
      <c r="D78" s="349">
        <v>21354</v>
      </c>
      <c r="E78" s="350">
        <v>10790</v>
      </c>
      <c r="F78" s="348">
        <f t="shared" si="2"/>
        <v>-10564</v>
      </c>
      <c r="G78" s="351">
        <f t="shared" si="3"/>
        <v>0.50529174861852577</v>
      </c>
    </row>
    <row r="79" spans="1:7" x14ac:dyDescent="0.2">
      <c r="A79" s="346" t="s">
        <v>389</v>
      </c>
      <c r="B79" s="347"/>
      <c r="C79" s="348">
        <v>839</v>
      </c>
      <c r="D79" s="349">
        <v>839</v>
      </c>
      <c r="E79" s="350">
        <v>786</v>
      </c>
      <c r="F79" s="348">
        <f t="shared" si="2"/>
        <v>-53</v>
      </c>
      <c r="G79" s="351">
        <f t="shared" si="3"/>
        <v>0.93682955899880815</v>
      </c>
    </row>
    <row r="80" spans="1:7" x14ac:dyDescent="0.2">
      <c r="A80" s="346" t="s">
        <v>390</v>
      </c>
      <c r="B80" s="347"/>
      <c r="C80" s="348"/>
      <c r="D80" s="349">
        <v>258</v>
      </c>
      <c r="E80" s="350">
        <v>258</v>
      </c>
      <c r="F80" s="348">
        <f t="shared" si="2"/>
        <v>0</v>
      </c>
      <c r="G80" s="351">
        <f t="shared" si="3"/>
        <v>1</v>
      </c>
    </row>
    <row r="81" spans="1:7" x14ac:dyDescent="0.2">
      <c r="A81" s="346" t="s">
        <v>391</v>
      </c>
      <c r="B81" s="347" t="s">
        <v>392</v>
      </c>
      <c r="C81" s="348">
        <v>15000</v>
      </c>
      <c r="D81" s="349">
        <v>8430</v>
      </c>
      <c r="E81" s="350"/>
      <c r="F81" s="348">
        <f t="shared" si="2"/>
        <v>-8430</v>
      </c>
      <c r="G81" s="351">
        <f t="shared" si="3"/>
        <v>0</v>
      </c>
    </row>
    <row r="82" spans="1:7" x14ac:dyDescent="0.2">
      <c r="A82" s="346" t="s">
        <v>393</v>
      </c>
      <c r="B82" s="347" t="s">
        <v>392</v>
      </c>
      <c r="C82" s="348">
        <v>20000</v>
      </c>
      <c r="D82" s="349">
        <v>31480</v>
      </c>
      <c r="E82" s="350">
        <v>31480</v>
      </c>
      <c r="F82" s="348">
        <f t="shared" si="2"/>
        <v>0</v>
      </c>
      <c r="G82" s="351">
        <f t="shared" si="3"/>
        <v>1</v>
      </c>
    </row>
    <row r="83" spans="1:7" x14ac:dyDescent="0.2">
      <c r="A83" s="346" t="s">
        <v>394</v>
      </c>
      <c r="B83" s="347" t="s">
        <v>392</v>
      </c>
      <c r="C83" s="348">
        <v>25000</v>
      </c>
      <c r="D83" s="349">
        <v>25000</v>
      </c>
      <c r="E83" s="350">
        <v>8092</v>
      </c>
      <c r="F83" s="348">
        <f t="shared" si="2"/>
        <v>-16908</v>
      </c>
      <c r="G83" s="351">
        <f t="shared" si="3"/>
        <v>0.32368000000000002</v>
      </c>
    </row>
    <row r="84" spans="1:7" x14ac:dyDescent="0.2">
      <c r="A84" s="346" t="s">
        <v>395</v>
      </c>
      <c r="B84" s="347" t="s">
        <v>396</v>
      </c>
      <c r="C84" s="348">
        <v>47873</v>
      </c>
      <c r="D84" s="349">
        <v>14380</v>
      </c>
      <c r="E84" s="350"/>
      <c r="F84" s="348">
        <f t="shared" si="2"/>
        <v>-14380</v>
      </c>
      <c r="G84" s="351">
        <f t="shared" si="3"/>
        <v>0</v>
      </c>
    </row>
    <row r="85" spans="1:7" x14ac:dyDescent="0.2">
      <c r="A85" s="346" t="s">
        <v>397</v>
      </c>
      <c r="B85" s="347" t="s">
        <v>396</v>
      </c>
      <c r="C85" s="348">
        <v>0</v>
      </c>
      <c r="D85" s="349">
        <v>13</v>
      </c>
      <c r="E85" s="350">
        <v>12</v>
      </c>
      <c r="F85" s="348">
        <f t="shared" si="2"/>
        <v>-1</v>
      </c>
      <c r="G85" s="351">
        <f t="shared" si="3"/>
        <v>0.92307692307692313</v>
      </c>
    </row>
    <row r="86" spans="1:7" ht="13.5" thickBot="1" x14ac:dyDescent="0.25">
      <c r="A86" s="346" t="s">
        <v>398</v>
      </c>
      <c r="B86" s="347" t="s">
        <v>396</v>
      </c>
      <c r="C86" s="348">
        <v>254367</v>
      </c>
      <c r="D86" s="349">
        <v>43610</v>
      </c>
      <c r="E86" s="350">
        <v>29111</v>
      </c>
      <c r="F86" s="348">
        <f t="shared" si="2"/>
        <v>-14499</v>
      </c>
      <c r="G86" s="351">
        <f t="shared" si="3"/>
        <v>0.66753038293969269</v>
      </c>
    </row>
    <row r="87" spans="1:7" ht="13.5" thickBot="1" x14ac:dyDescent="0.25">
      <c r="A87" s="359" t="s">
        <v>399</v>
      </c>
      <c r="B87" s="360"/>
      <c r="C87" s="361">
        <f>SUM(C3:C86)</f>
        <v>8832938</v>
      </c>
      <c r="D87" s="362">
        <f>SUM(D3:D86)</f>
        <v>9404181</v>
      </c>
      <c r="E87" s="363">
        <f>SUM(E3:E86)</f>
        <v>8508485</v>
      </c>
      <c r="F87" s="361">
        <f t="shared" si="2"/>
        <v>-895696</v>
      </c>
      <c r="G87" s="364">
        <f t="shared" si="3"/>
        <v>0.90475555500260996</v>
      </c>
    </row>
    <row r="91" spans="1:7" x14ac:dyDescent="0.2">
      <c r="C91" s="365" t="s">
        <v>275</v>
      </c>
      <c r="D91" s="365" t="s">
        <v>304</v>
      </c>
      <c r="E91" s="365" t="s">
        <v>305</v>
      </c>
      <c r="F91" s="365" t="s">
        <v>306</v>
      </c>
      <c r="G91" s="365" t="s">
        <v>307</v>
      </c>
    </row>
    <row r="92" spans="1:7" x14ac:dyDescent="0.2">
      <c r="A92" s="339">
        <v>50</v>
      </c>
      <c r="B92" s="339">
        <v>50</v>
      </c>
      <c r="C92" s="366">
        <v>885474</v>
      </c>
      <c r="D92" s="367">
        <v>930101</v>
      </c>
      <c r="E92" s="366">
        <v>897994</v>
      </c>
      <c r="F92" s="367">
        <f>E92-D92</f>
        <v>-32107</v>
      </c>
      <c r="G92" s="368">
        <f>E92/D92</f>
        <v>0.96548009302215565</v>
      </c>
    </row>
    <row r="93" spans="1:7" x14ac:dyDescent="0.2">
      <c r="A93" s="339">
        <v>51</v>
      </c>
      <c r="B93" s="339">
        <v>51</v>
      </c>
      <c r="C93" s="369">
        <v>2014852</v>
      </c>
      <c r="D93" s="370">
        <v>2096836</v>
      </c>
      <c r="E93" s="369">
        <v>1803354</v>
      </c>
      <c r="F93" s="370">
        <f t="shared" ref="F93:F100" si="4">E93-D93</f>
        <v>-293482</v>
      </c>
      <c r="G93" s="371">
        <f t="shared" ref="G93:G100" si="5">E93/D93</f>
        <v>0.86003578725279417</v>
      </c>
    </row>
    <row r="94" spans="1:7" x14ac:dyDescent="0.2">
      <c r="A94" s="339">
        <v>52</v>
      </c>
      <c r="B94" s="339">
        <v>52</v>
      </c>
      <c r="C94" s="366">
        <v>2533803</v>
      </c>
      <c r="D94" s="367">
        <v>2566710</v>
      </c>
      <c r="E94" s="366">
        <v>2089333</v>
      </c>
      <c r="F94" s="367">
        <f t="shared" si="4"/>
        <v>-477377</v>
      </c>
      <c r="G94" s="368">
        <f t="shared" si="5"/>
        <v>0.81401210109439714</v>
      </c>
    </row>
    <row r="95" spans="1:7" x14ac:dyDescent="0.2">
      <c r="A95" s="339">
        <v>53</v>
      </c>
      <c r="B95" s="339">
        <v>53</v>
      </c>
      <c r="C95" s="369">
        <v>2997445</v>
      </c>
      <c r="D95" s="370">
        <v>3655309</v>
      </c>
      <c r="E95" s="369">
        <v>3629076</v>
      </c>
      <c r="F95" s="370">
        <f t="shared" si="4"/>
        <v>-26233</v>
      </c>
      <c r="G95" s="371">
        <f t="shared" si="5"/>
        <v>0.9928233153476218</v>
      </c>
    </row>
    <row r="96" spans="1:7" x14ac:dyDescent="0.2">
      <c r="A96" s="339">
        <v>54</v>
      </c>
      <c r="B96" s="339">
        <v>54</v>
      </c>
      <c r="C96" s="366">
        <v>38285</v>
      </c>
      <c r="D96" s="367">
        <v>31215</v>
      </c>
      <c r="E96" s="366">
        <v>18989</v>
      </c>
      <c r="F96" s="367">
        <f t="shared" si="4"/>
        <v>-12226</v>
      </c>
      <c r="G96" s="368">
        <f t="shared" si="5"/>
        <v>0.60832932884831015</v>
      </c>
    </row>
    <row r="97" spans="1:7" x14ac:dyDescent="0.2">
      <c r="A97" s="339">
        <v>55</v>
      </c>
      <c r="C97" s="366">
        <v>839</v>
      </c>
      <c r="D97" s="367">
        <v>1097</v>
      </c>
      <c r="E97" s="366">
        <v>1044</v>
      </c>
      <c r="F97" s="367">
        <f t="shared" si="4"/>
        <v>-53</v>
      </c>
      <c r="G97" s="368">
        <f t="shared" si="5"/>
        <v>0.95168641750227889</v>
      </c>
    </row>
    <row r="98" spans="1:7" x14ac:dyDescent="0.2">
      <c r="A98" s="339">
        <v>56</v>
      </c>
      <c r="B98" s="339">
        <v>56</v>
      </c>
      <c r="C98" s="369">
        <v>60000</v>
      </c>
      <c r="D98" s="370">
        <v>64910</v>
      </c>
      <c r="E98" s="369">
        <v>39572</v>
      </c>
      <c r="F98" s="370">
        <f t="shared" si="4"/>
        <v>-25338</v>
      </c>
      <c r="G98" s="371">
        <f t="shared" si="5"/>
        <v>0.60964412263133572</v>
      </c>
    </row>
    <row r="99" spans="1:7" ht="13.5" thickBot="1" x14ac:dyDescent="0.25">
      <c r="A99" s="339">
        <v>59</v>
      </c>
      <c r="B99" s="339">
        <v>59</v>
      </c>
      <c r="C99" s="366">
        <v>302240</v>
      </c>
      <c r="D99" s="367">
        <v>58003</v>
      </c>
      <c r="E99" s="366">
        <v>29123</v>
      </c>
      <c r="F99" s="367">
        <f t="shared" si="4"/>
        <v>-28880</v>
      </c>
      <c r="G99" s="368">
        <f t="shared" si="5"/>
        <v>0.50209471923866011</v>
      </c>
    </row>
    <row r="100" spans="1:7" ht="13.5" thickTop="1" x14ac:dyDescent="0.2">
      <c r="C100" s="372">
        <f>SUM(C92:C99)</f>
        <v>8832938</v>
      </c>
      <c r="D100" s="373">
        <f t="shared" ref="D100:E100" si="6">SUM(D92:D99)</f>
        <v>9404181</v>
      </c>
      <c r="E100" s="372">
        <f t="shared" si="6"/>
        <v>8508485</v>
      </c>
      <c r="F100" s="373">
        <f t="shared" si="4"/>
        <v>-895696</v>
      </c>
      <c r="G100" s="374">
        <f t="shared" si="5"/>
        <v>0.90475555500260996</v>
      </c>
    </row>
  </sheetData>
  <pageMargins left="0.55118110236220474" right="0.35433070866141736" top="1.0629921259842521" bottom="0.86614173228346458" header="0.59055118110236227" footer="0.31496062992125984"/>
  <pageSetup paperSize="9" scale="90" orientation="portrait" r:id="rId1"/>
  <headerFooter>
    <oddHeader>&amp;C&amp;14ČERPÁNÍ ROZPOČTU BĚŽNÝCH VÝDAJŮ MĚSTA - POLOŽKOVÉ K 31.12.2016 (v tis. Kč)</oddHeader>
  </headerFooter>
  <rowBreaks count="1" manualBreakCount="1">
    <brk id="54" max="6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82"/>
  <sheetViews>
    <sheetView showZeros="0" zoomScaleNormal="100" zoomScaleSheetLayoutView="75" workbookViewId="0">
      <selection activeCell="F23" sqref="F23"/>
    </sheetView>
  </sheetViews>
  <sheetFormatPr defaultColWidth="5.7109375" defaultRowHeight="12.75" x14ac:dyDescent="0.2"/>
  <cols>
    <col min="1" max="1" width="7.7109375" style="259" customWidth="1"/>
    <col min="2" max="2" width="7.7109375" style="285" customWidth="1"/>
    <col min="3" max="3" width="38.42578125" style="284" customWidth="1"/>
    <col min="4" max="4" width="13.42578125" style="286" customWidth="1"/>
    <col min="5" max="5" width="14" style="286" customWidth="1"/>
    <col min="6" max="6" width="13.85546875" style="286" customWidth="1"/>
    <col min="7" max="8" width="8.85546875" style="287" customWidth="1"/>
    <col min="9" max="15" width="5.7109375" style="258" customWidth="1"/>
    <col min="16" max="17" width="5.7109375" style="258"/>
    <col min="18" max="16384" width="5.7109375" style="259"/>
  </cols>
  <sheetData>
    <row r="1" spans="1:17" s="256" customFormat="1" ht="13.5" thickBot="1" x14ac:dyDescent="0.25">
      <c r="A1" s="288" t="s">
        <v>215</v>
      </c>
      <c r="B1" s="289" t="s">
        <v>0</v>
      </c>
      <c r="C1" s="289" t="s">
        <v>3</v>
      </c>
      <c r="D1" s="320" t="s">
        <v>275</v>
      </c>
      <c r="E1" s="320" t="s">
        <v>294</v>
      </c>
      <c r="F1" s="175" t="s">
        <v>296</v>
      </c>
      <c r="G1" s="176" t="s">
        <v>47</v>
      </c>
      <c r="H1" s="254" t="s">
        <v>48</v>
      </c>
      <c r="I1" s="255"/>
      <c r="J1" s="255"/>
      <c r="K1" s="255"/>
      <c r="L1" s="255"/>
      <c r="M1" s="255"/>
      <c r="N1" s="255"/>
      <c r="O1" s="255"/>
      <c r="P1" s="255"/>
      <c r="Q1" s="255"/>
    </row>
    <row r="2" spans="1:17" x14ac:dyDescent="0.2">
      <c r="A2" s="188"/>
      <c r="B2" s="184"/>
      <c r="C2" s="108"/>
      <c r="D2" s="321"/>
      <c r="E2" s="309"/>
      <c r="F2" s="180"/>
      <c r="G2" s="257">
        <f>IF(D2&lt;=0,0,$F2/D2*100)</f>
        <v>0</v>
      </c>
      <c r="H2" s="182">
        <f>IF(E2&lt;=0,0,$F2/E2*100)</f>
        <v>0</v>
      </c>
    </row>
    <row r="3" spans="1:17" x14ac:dyDescent="0.2">
      <c r="A3" s="264" t="s">
        <v>41</v>
      </c>
      <c r="B3" s="265"/>
      <c r="C3" s="266"/>
      <c r="D3" s="321"/>
      <c r="E3" s="309"/>
      <c r="F3" s="180"/>
      <c r="G3" s="257"/>
      <c r="H3" s="267"/>
    </row>
    <row r="4" spans="1:17" x14ac:dyDescent="0.2">
      <c r="A4" s="262">
        <v>1700</v>
      </c>
      <c r="B4" s="261">
        <v>6310</v>
      </c>
      <c r="C4" s="108" t="s">
        <v>131</v>
      </c>
      <c r="D4" s="307">
        <v>233000</v>
      </c>
      <c r="E4" s="307">
        <v>266000</v>
      </c>
      <c r="F4" s="307">
        <v>264862</v>
      </c>
      <c r="G4" s="238">
        <f t="shared" ref="G4:H4" si="0">IF(D4&lt;=0,0,$F4/D4*100)</f>
        <v>113.67467811158798</v>
      </c>
      <c r="H4" s="187">
        <f t="shared" si="0"/>
        <v>99.572180451127821</v>
      </c>
      <c r="I4" s="283"/>
    </row>
    <row r="5" spans="1:17" x14ac:dyDescent="0.2">
      <c r="A5" s="264" t="s">
        <v>181</v>
      </c>
      <c r="B5" s="265"/>
      <c r="C5" s="319"/>
      <c r="D5" s="309">
        <f>SUBTOTAL(9,D4)</f>
        <v>233000</v>
      </c>
      <c r="E5" s="309">
        <f>SUBTOTAL(9,E4)</f>
        <v>266000</v>
      </c>
      <c r="F5" s="309">
        <f>SUBTOTAL(9,F4)</f>
        <v>264862</v>
      </c>
      <c r="G5" s="236">
        <f t="shared" ref="G5:G73" si="1">IF(D5&lt;=0,0,$F5/D5*100)</f>
        <v>113.67467811158798</v>
      </c>
      <c r="H5" s="182">
        <f t="shared" ref="H5:H73" si="2">IF(E5&lt;=0,0,$F5/E5*100)</f>
        <v>99.572180451127821</v>
      </c>
      <c r="I5" s="283"/>
    </row>
    <row r="6" spans="1:17" x14ac:dyDescent="0.2">
      <c r="A6" s="318"/>
      <c r="B6" s="265"/>
      <c r="C6" s="259"/>
      <c r="D6" s="321"/>
      <c r="E6" s="309"/>
      <c r="F6" s="180"/>
      <c r="G6" s="257">
        <f t="shared" si="1"/>
        <v>0</v>
      </c>
      <c r="H6" s="267">
        <f t="shared" si="2"/>
        <v>0</v>
      </c>
      <c r="I6" s="283"/>
    </row>
    <row r="7" spans="1:17" s="256" customFormat="1" x14ac:dyDescent="0.2">
      <c r="A7" s="260" t="s">
        <v>34</v>
      </c>
      <c r="B7" s="261"/>
      <c r="C7" s="114"/>
      <c r="D7" s="321"/>
      <c r="E7" s="309"/>
      <c r="F7" s="180"/>
      <c r="G7" s="236">
        <f t="shared" si="1"/>
        <v>0</v>
      </c>
      <c r="H7" s="182">
        <f t="shared" si="2"/>
        <v>0</v>
      </c>
      <c r="I7" s="283"/>
      <c r="J7" s="255"/>
      <c r="K7" s="255"/>
      <c r="L7" s="255"/>
      <c r="M7" s="255"/>
      <c r="N7" s="255"/>
      <c r="O7" s="255"/>
      <c r="P7" s="255"/>
      <c r="Q7" s="255"/>
    </row>
    <row r="8" spans="1:17" x14ac:dyDescent="0.2">
      <c r="A8" s="262">
        <v>3200</v>
      </c>
      <c r="B8" s="261">
        <v>5511</v>
      </c>
      <c r="C8" s="114" t="s">
        <v>211</v>
      </c>
      <c r="D8" s="322"/>
      <c r="E8" s="307">
        <v>6000</v>
      </c>
      <c r="F8" s="185">
        <v>6000</v>
      </c>
      <c r="G8" s="238">
        <f t="shared" si="1"/>
        <v>0</v>
      </c>
      <c r="H8" s="187">
        <f t="shared" si="2"/>
        <v>100</v>
      </c>
      <c r="I8" s="283"/>
    </row>
    <row r="9" spans="1:17" x14ac:dyDescent="0.2">
      <c r="A9" s="262">
        <v>3200</v>
      </c>
      <c r="B9" s="261">
        <v>6171</v>
      </c>
      <c r="C9" s="114" t="s">
        <v>9</v>
      </c>
      <c r="D9" s="322">
        <v>2644</v>
      </c>
      <c r="E9" s="307">
        <v>2113</v>
      </c>
      <c r="F9" s="185">
        <v>2100</v>
      </c>
      <c r="G9" s="238">
        <f t="shared" si="1"/>
        <v>79.425113464447804</v>
      </c>
      <c r="H9" s="187">
        <f t="shared" si="2"/>
        <v>99.384761003312832</v>
      </c>
      <c r="I9" s="283"/>
    </row>
    <row r="10" spans="1:17" x14ac:dyDescent="0.2">
      <c r="A10" s="264" t="s">
        <v>32</v>
      </c>
      <c r="B10" s="265"/>
      <c r="C10" s="266"/>
      <c r="D10" s="309">
        <f>SUBTOTAL(9,D8:D9)</f>
        <v>2644</v>
      </c>
      <c r="E10" s="309">
        <f>SUBTOTAL(9,E8:E9)</f>
        <v>8113</v>
      </c>
      <c r="F10" s="180">
        <f>SUBTOTAL(9,F8:F9)</f>
        <v>8100</v>
      </c>
      <c r="G10" s="257">
        <f t="shared" si="1"/>
        <v>306.35400907715587</v>
      </c>
      <c r="H10" s="267">
        <f t="shared" si="2"/>
        <v>99.839763342783186</v>
      </c>
      <c r="I10" s="283"/>
    </row>
    <row r="11" spans="1:17" x14ac:dyDescent="0.2">
      <c r="A11" s="264"/>
      <c r="B11" s="265"/>
      <c r="C11" s="266"/>
      <c r="D11" s="321"/>
      <c r="E11" s="309"/>
      <c r="F11" s="180"/>
      <c r="G11" s="257">
        <f t="shared" si="1"/>
        <v>0</v>
      </c>
      <c r="H11" s="267">
        <f t="shared" si="2"/>
        <v>0</v>
      </c>
      <c r="I11" s="283"/>
    </row>
    <row r="12" spans="1:17" x14ac:dyDescent="0.2">
      <c r="A12" s="264" t="s">
        <v>57</v>
      </c>
      <c r="B12" s="265"/>
      <c r="C12" s="266"/>
      <c r="D12" s="321"/>
      <c r="E12" s="309"/>
      <c r="F12" s="180"/>
      <c r="G12" s="257">
        <f t="shared" si="1"/>
        <v>0</v>
      </c>
      <c r="H12" s="267">
        <f t="shared" si="2"/>
        <v>0</v>
      </c>
      <c r="I12" s="283"/>
    </row>
    <row r="13" spans="1:17" x14ac:dyDescent="0.2">
      <c r="A13" s="262">
        <v>3600</v>
      </c>
      <c r="B13" s="265">
        <v>5273</v>
      </c>
      <c r="C13" s="266" t="s">
        <v>214</v>
      </c>
      <c r="D13" s="322">
        <v>200</v>
      </c>
      <c r="E13" s="322">
        <v>200</v>
      </c>
      <c r="F13" s="185">
        <v>133</v>
      </c>
      <c r="G13" s="238">
        <f t="shared" si="1"/>
        <v>66.5</v>
      </c>
      <c r="H13" s="187">
        <f t="shared" si="2"/>
        <v>66.5</v>
      </c>
      <c r="I13" s="283"/>
    </row>
    <row r="14" spans="1:17" x14ac:dyDescent="0.2">
      <c r="A14" s="264" t="s">
        <v>58</v>
      </c>
      <c r="B14" s="184"/>
      <c r="C14" s="108"/>
      <c r="D14" s="309">
        <f>SUBTOTAL(9,D13)</f>
        <v>200</v>
      </c>
      <c r="E14" s="309">
        <f>SUBTOTAL(9,E13)</f>
        <v>200</v>
      </c>
      <c r="F14" s="180">
        <f>SUBTOTAL(9,F13)</f>
        <v>133</v>
      </c>
      <c r="G14" s="257">
        <f t="shared" si="1"/>
        <v>66.5</v>
      </c>
      <c r="H14" s="267">
        <f t="shared" si="2"/>
        <v>66.5</v>
      </c>
      <c r="I14" s="283"/>
    </row>
    <row r="15" spans="1:17" x14ac:dyDescent="0.2">
      <c r="A15" s="264"/>
      <c r="B15" s="184"/>
      <c r="C15" s="108"/>
      <c r="D15" s="321"/>
      <c r="E15" s="309"/>
      <c r="F15" s="180"/>
      <c r="G15" s="257">
        <f t="shared" si="1"/>
        <v>0</v>
      </c>
      <c r="H15" s="182">
        <f t="shared" si="2"/>
        <v>0</v>
      </c>
      <c r="I15" s="283"/>
    </row>
    <row r="16" spans="1:17" s="256" customFormat="1" x14ac:dyDescent="0.2">
      <c r="A16" s="260" t="s">
        <v>52</v>
      </c>
      <c r="B16" s="261"/>
      <c r="C16" s="114"/>
      <c r="D16" s="321"/>
      <c r="E16" s="309"/>
      <c r="F16" s="180"/>
      <c r="G16" s="236">
        <f t="shared" si="1"/>
        <v>0</v>
      </c>
      <c r="H16" s="182">
        <f t="shared" si="2"/>
        <v>0</v>
      </c>
      <c r="I16" s="283"/>
      <c r="J16" s="255"/>
      <c r="K16" s="255"/>
      <c r="L16" s="255"/>
      <c r="M16" s="255"/>
      <c r="N16" s="255"/>
      <c r="O16" s="255"/>
      <c r="P16" s="255"/>
      <c r="Q16" s="255"/>
    </row>
    <row r="17" spans="1:17" x14ac:dyDescent="0.2">
      <c r="A17" s="262">
        <v>3900</v>
      </c>
      <c r="B17" s="261">
        <v>6211</v>
      </c>
      <c r="C17" s="114" t="s">
        <v>53</v>
      </c>
      <c r="D17" s="322">
        <v>2000</v>
      </c>
      <c r="E17" s="307">
        <v>1000</v>
      </c>
      <c r="F17" s="185">
        <v>211</v>
      </c>
      <c r="G17" s="238">
        <f t="shared" si="1"/>
        <v>10.549999999999999</v>
      </c>
      <c r="H17" s="187">
        <f t="shared" si="2"/>
        <v>21.099999999999998</v>
      </c>
      <c r="I17" s="283"/>
    </row>
    <row r="18" spans="1:17" x14ac:dyDescent="0.2">
      <c r="A18" s="264" t="s">
        <v>188</v>
      </c>
      <c r="B18" s="265"/>
      <c r="C18" s="266"/>
      <c r="D18" s="321">
        <f>SUBTOTAL(9,D17:D17)</f>
        <v>2000</v>
      </c>
      <c r="E18" s="309">
        <f>SUBTOTAL(9,E17)</f>
        <v>1000</v>
      </c>
      <c r="F18" s="180">
        <f>SUBTOTAL(9,F17:F17)</f>
        <v>211</v>
      </c>
      <c r="G18" s="257">
        <f t="shared" si="1"/>
        <v>10.549999999999999</v>
      </c>
      <c r="H18" s="267">
        <f t="shared" si="2"/>
        <v>21.099999999999998</v>
      </c>
      <c r="I18" s="283"/>
    </row>
    <row r="19" spans="1:17" x14ac:dyDescent="0.2">
      <c r="A19" s="188"/>
      <c r="B19" s="184"/>
      <c r="C19" s="108"/>
      <c r="D19" s="321"/>
      <c r="E19" s="309"/>
      <c r="F19" s="180"/>
      <c r="G19" s="268">
        <f t="shared" si="1"/>
        <v>0</v>
      </c>
      <c r="H19" s="214">
        <f t="shared" si="2"/>
        <v>0</v>
      </c>
      <c r="I19" s="283"/>
    </row>
    <row r="20" spans="1:17" x14ac:dyDescent="0.2">
      <c r="A20" s="260" t="s">
        <v>79</v>
      </c>
      <c r="B20" s="261"/>
      <c r="C20" s="114"/>
      <c r="D20" s="321"/>
      <c r="E20" s="309"/>
      <c r="F20" s="180"/>
      <c r="G20" s="236">
        <f t="shared" si="1"/>
        <v>0</v>
      </c>
      <c r="H20" s="182">
        <f t="shared" si="2"/>
        <v>0</v>
      </c>
      <c r="I20" s="283"/>
    </row>
    <row r="21" spans="1:17" s="256" customFormat="1" x14ac:dyDescent="0.2">
      <c r="A21" s="262">
        <v>4100</v>
      </c>
      <c r="B21" s="261">
        <v>2212</v>
      </c>
      <c r="C21" s="269" t="s">
        <v>18</v>
      </c>
      <c r="D21" s="322">
        <v>8074</v>
      </c>
      <c r="E21" s="307">
        <v>8074</v>
      </c>
      <c r="F21" s="185">
        <v>7694</v>
      </c>
      <c r="G21" s="238">
        <f t="shared" si="1"/>
        <v>95.293534803071594</v>
      </c>
      <c r="H21" s="187">
        <f t="shared" si="2"/>
        <v>95.293534803071594</v>
      </c>
      <c r="I21" s="283"/>
      <c r="J21" s="255"/>
      <c r="K21" s="255"/>
      <c r="L21" s="255"/>
      <c r="M21" s="255"/>
      <c r="N21" s="255"/>
      <c r="O21" s="255"/>
      <c r="P21" s="255"/>
      <c r="Q21" s="255"/>
    </row>
    <row r="22" spans="1:17" s="256" customFormat="1" x14ac:dyDescent="0.2">
      <c r="A22" s="262">
        <v>4100</v>
      </c>
      <c r="B22" s="261">
        <v>3635</v>
      </c>
      <c r="C22" s="269" t="s">
        <v>69</v>
      </c>
      <c r="D22" s="322"/>
      <c r="E22" s="307">
        <v>1471</v>
      </c>
      <c r="F22" s="185">
        <v>1424</v>
      </c>
      <c r="G22" s="238"/>
      <c r="H22" s="187"/>
      <c r="I22" s="283"/>
      <c r="J22" s="255"/>
      <c r="K22" s="255"/>
      <c r="L22" s="255"/>
      <c r="M22" s="255"/>
      <c r="N22" s="255"/>
      <c r="O22" s="255"/>
      <c r="P22" s="255"/>
      <c r="Q22" s="255"/>
    </row>
    <row r="23" spans="1:17" s="256" customFormat="1" x14ac:dyDescent="0.2">
      <c r="A23" s="262">
        <v>4100</v>
      </c>
      <c r="B23" s="261">
        <v>3639</v>
      </c>
      <c r="C23" s="269" t="s">
        <v>119</v>
      </c>
      <c r="D23" s="322">
        <v>6400</v>
      </c>
      <c r="E23" s="307">
        <v>1000</v>
      </c>
      <c r="F23" s="185">
        <v>94</v>
      </c>
      <c r="G23" s="238">
        <f t="shared" si="1"/>
        <v>1.46875</v>
      </c>
      <c r="H23" s="187">
        <f t="shared" si="2"/>
        <v>9.4</v>
      </c>
      <c r="I23" s="283"/>
      <c r="J23" s="255"/>
      <c r="K23" s="255"/>
      <c r="L23" s="255"/>
      <c r="M23" s="255"/>
      <c r="N23" s="255"/>
      <c r="O23" s="255"/>
      <c r="P23" s="255"/>
      <c r="Q23" s="255"/>
    </row>
    <row r="24" spans="1:17" s="256" customFormat="1" x14ac:dyDescent="0.2">
      <c r="A24" s="264" t="s">
        <v>183</v>
      </c>
      <c r="B24" s="265"/>
      <c r="C24" s="266"/>
      <c r="D24" s="321">
        <f>SUBTOTAL(9,D21:D23)</f>
        <v>14474</v>
      </c>
      <c r="E24" s="321">
        <f>SUBTOTAL(9,E21:E23)</f>
        <v>10545</v>
      </c>
      <c r="F24" s="235">
        <f>SUBTOTAL(9,F21:F23)</f>
        <v>9212</v>
      </c>
      <c r="G24" s="236">
        <f t="shared" si="1"/>
        <v>63.645156832941829</v>
      </c>
      <c r="H24" s="182">
        <f t="shared" si="2"/>
        <v>87.358937885253667</v>
      </c>
      <c r="I24" s="283"/>
      <c r="J24" s="255"/>
      <c r="K24" s="255"/>
      <c r="L24" s="255"/>
      <c r="M24" s="255"/>
      <c r="N24" s="255"/>
      <c r="O24" s="255"/>
      <c r="P24" s="255"/>
      <c r="Q24" s="255"/>
    </row>
    <row r="25" spans="1:17" s="256" customFormat="1" x14ac:dyDescent="0.2">
      <c r="A25" s="188"/>
      <c r="B25" s="184"/>
      <c r="C25" s="69"/>
      <c r="D25" s="321"/>
      <c r="E25" s="309"/>
      <c r="F25" s="180"/>
      <c r="G25" s="268">
        <f t="shared" si="1"/>
        <v>0</v>
      </c>
      <c r="H25" s="214">
        <f t="shared" si="2"/>
        <v>0</v>
      </c>
      <c r="I25" s="283"/>
      <c r="J25" s="255"/>
      <c r="K25" s="255"/>
      <c r="L25" s="255"/>
      <c r="M25" s="255"/>
      <c r="N25" s="255"/>
      <c r="O25" s="255"/>
      <c r="P25" s="255"/>
      <c r="Q25" s="255"/>
    </row>
    <row r="26" spans="1:17" s="256" customFormat="1" x14ac:dyDescent="0.2">
      <c r="A26" s="202" t="s">
        <v>4</v>
      </c>
      <c r="B26" s="200"/>
      <c r="C26" s="104"/>
      <c r="D26" s="321"/>
      <c r="E26" s="309"/>
      <c r="F26" s="180"/>
      <c r="G26" s="236">
        <f t="shared" si="1"/>
        <v>0</v>
      </c>
      <c r="H26" s="182">
        <f t="shared" si="2"/>
        <v>0</v>
      </c>
      <c r="I26" s="283"/>
      <c r="J26" s="255"/>
      <c r="K26" s="255"/>
      <c r="L26" s="255"/>
      <c r="M26" s="255"/>
      <c r="N26" s="255"/>
      <c r="O26" s="255"/>
      <c r="P26" s="255"/>
      <c r="Q26" s="255"/>
    </row>
    <row r="27" spans="1:17" s="256" customFormat="1" x14ac:dyDescent="0.2">
      <c r="A27" s="183">
        <v>4200</v>
      </c>
      <c r="B27" s="184">
        <v>3632</v>
      </c>
      <c r="C27" s="69" t="s">
        <v>1</v>
      </c>
      <c r="D27" s="322">
        <v>950</v>
      </c>
      <c r="E27" s="322">
        <v>1310</v>
      </c>
      <c r="F27" s="185">
        <v>1226</v>
      </c>
      <c r="G27" s="238">
        <f t="shared" si="1"/>
        <v>129.05263157894737</v>
      </c>
      <c r="H27" s="187">
        <f t="shared" si="2"/>
        <v>93.587786259541986</v>
      </c>
      <c r="I27" s="283"/>
      <c r="J27" s="255"/>
      <c r="K27" s="255"/>
      <c r="L27" s="255"/>
      <c r="M27" s="255"/>
      <c r="N27" s="255"/>
      <c r="O27" s="255"/>
      <c r="P27" s="255"/>
      <c r="Q27" s="255"/>
    </row>
    <row r="28" spans="1:17" s="256" customFormat="1" x14ac:dyDescent="0.2">
      <c r="A28" s="183">
        <v>4200</v>
      </c>
      <c r="B28" s="184">
        <v>3725</v>
      </c>
      <c r="C28" s="69" t="s">
        <v>63</v>
      </c>
      <c r="D28" s="322">
        <v>3858</v>
      </c>
      <c r="E28" s="322">
        <v>3858</v>
      </c>
      <c r="F28" s="185">
        <v>3858</v>
      </c>
      <c r="G28" s="238">
        <f t="shared" si="1"/>
        <v>100</v>
      </c>
      <c r="H28" s="187">
        <f t="shared" si="2"/>
        <v>100</v>
      </c>
      <c r="I28" s="283"/>
      <c r="J28" s="255"/>
      <c r="K28" s="255"/>
      <c r="L28" s="255"/>
      <c r="M28" s="255"/>
      <c r="N28" s="255"/>
      <c r="O28" s="255"/>
      <c r="P28" s="255"/>
      <c r="Q28" s="255"/>
    </row>
    <row r="29" spans="1:17" s="256" customFormat="1" x14ac:dyDescent="0.2">
      <c r="A29" s="183">
        <v>4200</v>
      </c>
      <c r="B29" s="184">
        <v>3741</v>
      </c>
      <c r="C29" s="69" t="s">
        <v>6</v>
      </c>
      <c r="D29" s="322">
        <v>700</v>
      </c>
      <c r="E29" s="322">
        <v>700</v>
      </c>
      <c r="F29" s="185">
        <v>700</v>
      </c>
      <c r="G29" s="238">
        <f t="shared" si="1"/>
        <v>100</v>
      </c>
      <c r="H29" s="187">
        <f t="shared" si="2"/>
        <v>100</v>
      </c>
      <c r="I29" s="283"/>
      <c r="J29" s="255"/>
      <c r="K29" s="255"/>
      <c r="L29" s="255"/>
      <c r="M29" s="255"/>
      <c r="N29" s="255"/>
      <c r="O29" s="255"/>
      <c r="P29" s="255"/>
      <c r="Q29" s="255"/>
    </row>
    <row r="30" spans="1:17" s="256" customFormat="1" x14ac:dyDescent="0.2">
      <c r="A30" s="183">
        <v>4200</v>
      </c>
      <c r="B30" s="184">
        <v>3745</v>
      </c>
      <c r="C30" s="69" t="s">
        <v>2</v>
      </c>
      <c r="D30" s="322">
        <v>2559</v>
      </c>
      <c r="E30" s="322">
        <v>2559</v>
      </c>
      <c r="F30" s="185">
        <v>2559</v>
      </c>
      <c r="G30" s="238">
        <f t="shared" si="1"/>
        <v>100</v>
      </c>
      <c r="H30" s="187">
        <f t="shared" si="2"/>
        <v>100</v>
      </c>
      <c r="I30" s="283"/>
      <c r="J30" s="255"/>
      <c r="K30" s="255"/>
      <c r="L30" s="255"/>
      <c r="M30" s="255"/>
      <c r="N30" s="255"/>
      <c r="O30" s="255"/>
      <c r="P30" s="255"/>
      <c r="Q30" s="255"/>
    </row>
    <row r="31" spans="1:17" x14ac:dyDescent="0.2">
      <c r="A31" s="188" t="s">
        <v>182</v>
      </c>
      <c r="B31" s="184"/>
      <c r="C31" s="69"/>
      <c r="D31" s="321">
        <f>SUBTOTAL(9,D27:D30)</f>
        <v>8067</v>
      </c>
      <c r="E31" s="309">
        <f>SUBTOTAL(9,E27:E30)</f>
        <v>8427</v>
      </c>
      <c r="F31" s="180">
        <f>SUBTOTAL(9,F27:F30)</f>
        <v>8343</v>
      </c>
      <c r="G31" s="236">
        <f t="shared" si="1"/>
        <v>103.42134622536258</v>
      </c>
      <c r="H31" s="182">
        <f t="shared" si="2"/>
        <v>99.003203987184051</v>
      </c>
      <c r="I31" s="283"/>
    </row>
    <row r="32" spans="1:17" s="256" customFormat="1" x14ac:dyDescent="0.2">
      <c r="A32" s="188"/>
      <c r="B32" s="184"/>
      <c r="C32" s="69"/>
      <c r="D32" s="321"/>
      <c r="E32" s="309"/>
      <c r="F32" s="180"/>
      <c r="G32" s="268">
        <f t="shared" si="1"/>
        <v>0</v>
      </c>
      <c r="H32" s="214">
        <f t="shared" si="2"/>
        <v>0</v>
      </c>
      <c r="I32" s="283"/>
      <c r="J32" s="255"/>
      <c r="K32" s="255"/>
      <c r="L32" s="255"/>
      <c r="M32" s="255"/>
      <c r="N32" s="255"/>
      <c r="O32" s="255"/>
      <c r="P32" s="255"/>
      <c r="Q32" s="255"/>
    </row>
    <row r="33" spans="1:17" s="256" customFormat="1" x14ac:dyDescent="0.2">
      <c r="A33" s="202" t="s">
        <v>42</v>
      </c>
      <c r="B33" s="200"/>
      <c r="C33" s="104"/>
      <c r="D33" s="321"/>
      <c r="E33" s="309"/>
      <c r="F33" s="180"/>
      <c r="G33" s="236">
        <f t="shared" si="1"/>
        <v>0</v>
      </c>
      <c r="H33" s="182">
        <f t="shared" si="2"/>
        <v>0</v>
      </c>
      <c r="I33" s="283"/>
      <c r="J33" s="255"/>
      <c r="K33" s="255"/>
      <c r="L33" s="255"/>
      <c r="M33" s="255"/>
      <c r="N33" s="255"/>
      <c r="O33" s="255"/>
      <c r="P33" s="255"/>
      <c r="Q33" s="255"/>
    </row>
    <row r="34" spans="1:17" s="256" customFormat="1" x14ac:dyDescent="0.2">
      <c r="A34" s="183">
        <v>4300</v>
      </c>
      <c r="B34" s="184">
        <v>3636</v>
      </c>
      <c r="C34" s="69" t="s">
        <v>158</v>
      </c>
      <c r="D34" s="322"/>
      <c r="E34" s="307">
        <v>1000</v>
      </c>
      <c r="F34" s="185"/>
      <c r="G34" s="238">
        <f t="shared" si="1"/>
        <v>0</v>
      </c>
      <c r="H34" s="187">
        <f t="shared" si="2"/>
        <v>0</v>
      </c>
      <c r="I34" s="283"/>
      <c r="J34" s="255"/>
      <c r="K34" s="255"/>
      <c r="L34" s="255"/>
      <c r="M34" s="255"/>
      <c r="N34" s="255"/>
      <c r="O34" s="255"/>
      <c r="P34" s="255"/>
      <c r="Q34" s="255"/>
    </row>
    <row r="35" spans="1:17" s="256" customFormat="1" x14ac:dyDescent="0.2">
      <c r="A35" s="183">
        <v>4300</v>
      </c>
      <c r="B35" s="184">
        <v>3639</v>
      </c>
      <c r="C35" s="69" t="s">
        <v>119</v>
      </c>
      <c r="D35" s="322">
        <v>1500</v>
      </c>
      <c r="E35" s="307"/>
      <c r="F35" s="185"/>
      <c r="G35" s="238">
        <f t="shared" si="1"/>
        <v>0</v>
      </c>
      <c r="H35" s="187">
        <f t="shared" si="2"/>
        <v>0</v>
      </c>
      <c r="I35" s="283"/>
      <c r="J35" s="255"/>
      <c r="K35" s="255"/>
      <c r="L35" s="255"/>
      <c r="M35" s="255"/>
      <c r="N35" s="255"/>
      <c r="O35" s="255"/>
      <c r="P35" s="255"/>
      <c r="Q35" s="255"/>
    </row>
    <row r="36" spans="1:17" s="256" customFormat="1" x14ac:dyDescent="0.2">
      <c r="A36" s="183">
        <v>4300</v>
      </c>
      <c r="B36" s="184">
        <v>3744</v>
      </c>
      <c r="C36" s="115" t="s">
        <v>70</v>
      </c>
      <c r="D36" s="322"/>
      <c r="E36" s="307">
        <v>250</v>
      </c>
      <c r="F36" s="185"/>
      <c r="G36" s="238"/>
      <c r="H36" s="187"/>
      <c r="I36" s="283"/>
      <c r="J36" s="255"/>
      <c r="K36" s="255"/>
      <c r="L36" s="255"/>
      <c r="M36" s="255"/>
      <c r="N36" s="255"/>
      <c r="O36" s="255"/>
      <c r="P36" s="255"/>
      <c r="Q36" s="255"/>
    </row>
    <row r="37" spans="1:17" s="256" customFormat="1" x14ac:dyDescent="0.2">
      <c r="A37" s="183">
        <v>4300</v>
      </c>
      <c r="B37" s="184">
        <v>3745</v>
      </c>
      <c r="C37" s="69" t="s">
        <v>2</v>
      </c>
      <c r="D37" s="322">
        <v>157</v>
      </c>
      <c r="E37" s="307">
        <v>398</v>
      </c>
      <c r="F37" s="185">
        <v>397</v>
      </c>
      <c r="G37" s="238">
        <f t="shared" si="1"/>
        <v>252.86624203821657</v>
      </c>
      <c r="H37" s="187">
        <f t="shared" si="2"/>
        <v>99.748743718592976</v>
      </c>
      <c r="I37" s="283"/>
      <c r="J37" s="255"/>
      <c r="K37" s="255"/>
      <c r="L37" s="255"/>
      <c r="M37" s="255"/>
      <c r="N37" s="255"/>
      <c r="O37" s="255"/>
      <c r="P37" s="255"/>
      <c r="Q37" s="255"/>
    </row>
    <row r="38" spans="1:17" x14ac:dyDescent="0.2">
      <c r="A38" s="188" t="s">
        <v>184</v>
      </c>
      <c r="B38" s="184"/>
      <c r="C38" s="69"/>
      <c r="D38" s="321">
        <f>SUBTOTAL(9,D34:D37)</f>
        <v>1657</v>
      </c>
      <c r="E38" s="309">
        <f>SUBTOTAL(9,E34:E37)</f>
        <v>1648</v>
      </c>
      <c r="F38" s="180">
        <f>SUBTOTAL(9,F34:F37)</f>
        <v>397</v>
      </c>
      <c r="G38" s="236">
        <f t="shared" si="1"/>
        <v>23.958961979480989</v>
      </c>
      <c r="H38" s="182">
        <f t="shared" si="2"/>
        <v>24.089805825242721</v>
      </c>
      <c r="I38" s="283"/>
    </row>
    <row r="39" spans="1:17" s="256" customFormat="1" x14ac:dyDescent="0.2">
      <c r="A39" s="188"/>
      <c r="B39" s="184"/>
      <c r="C39" s="69"/>
      <c r="D39" s="321"/>
      <c r="E39" s="309"/>
      <c r="F39" s="180"/>
      <c r="G39" s="268">
        <f t="shared" si="1"/>
        <v>0</v>
      </c>
      <c r="H39" s="214">
        <f t="shared" si="2"/>
        <v>0</v>
      </c>
      <c r="I39" s="283"/>
      <c r="J39" s="255"/>
      <c r="K39" s="255"/>
      <c r="L39" s="255"/>
      <c r="M39" s="255"/>
      <c r="N39" s="255"/>
      <c r="O39" s="255"/>
      <c r="P39" s="255"/>
      <c r="Q39" s="255"/>
    </row>
    <row r="40" spans="1:17" s="256" customFormat="1" x14ac:dyDescent="0.2">
      <c r="A40" s="202" t="s">
        <v>35</v>
      </c>
      <c r="B40" s="200"/>
      <c r="C40" s="104"/>
      <c r="D40" s="321"/>
      <c r="E40" s="309"/>
      <c r="F40" s="180"/>
      <c r="G40" s="236">
        <f t="shared" si="1"/>
        <v>0</v>
      </c>
      <c r="H40" s="182">
        <f t="shared" si="2"/>
        <v>0</v>
      </c>
      <c r="I40" s="283"/>
      <c r="J40" s="255"/>
      <c r="K40" s="255"/>
      <c r="L40" s="255"/>
      <c r="M40" s="255"/>
      <c r="N40" s="255"/>
      <c r="O40" s="255"/>
      <c r="P40" s="255"/>
      <c r="Q40" s="255"/>
    </row>
    <row r="41" spans="1:17" s="256" customFormat="1" x14ac:dyDescent="0.2">
      <c r="A41" s="183">
        <v>5300</v>
      </c>
      <c r="B41" s="184">
        <v>6171</v>
      </c>
      <c r="C41" s="69" t="s">
        <v>9</v>
      </c>
      <c r="D41" s="322">
        <v>94050</v>
      </c>
      <c r="E41" s="307">
        <v>73960</v>
      </c>
      <c r="F41" s="185">
        <v>29632</v>
      </c>
      <c r="G41" s="238">
        <f t="shared" si="1"/>
        <v>31.506645401382244</v>
      </c>
      <c r="H41" s="187">
        <f t="shared" si="2"/>
        <v>40.064899945916707</v>
      </c>
      <c r="I41" s="283"/>
      <c r="J41" s="255"/>
      <c r="K41" s="255"/>
      <c r="L41" s="255"/>
      <c r="M41" s="255"/>
      <c r="N41" s="255"/>
      <c r="O41" s="255"/>
      <c r="P41" s="255"/>
      <c r="Q41" s="255"/>
    </row>
    <row r="42" spans="1:17" x14ac:dyDescent="0.2">
      <c r="A42" s="188" t="s">
        <v>40</v>
      </c>
      <c r="B42" s="184"/>
      <c r="C42" s="69"/>
      <c r="D42" s="321">
        <f>SUBTOTAL(9,D41:D41)</f>
        <v>94050</v>
      </c>
      <c r="E42" s="309">
        <f>SUBTOTAL(9,E41)</f>
        <v>73960</v>
      </c>
      <c r="F42" s="180">
        <f>SUBTOTAL(9,F41:F41)</f>
        <v>29632</v>
      </c>
      <c r="G42" s="236">
        <f t="shared" si="1"/>
        <v>31.506645401382244</v>
      </c>
      <c r="H42" s="182">
        <f t="shared" si="2"/>
        <v>40.064899945916707</v>
      </c>
      <c r="I42" s="283"/>
    </row>
    <row r="43" spans="1:17" x14ac:dyDescent="0.2">
      <c r="A43" s="270"/>
      <c r="B43" s="271"/>
      <c r="C43" s="272"/>
      <c r="D43" s="321"/>
      <c r="E43" s="309"/>
      <c r="F43" s="180"/>
      <c r="G43" s="268">
        <f t="shared" si="1"/>
        <v>0</v>
      </c>
      <c r="H43" s="214">
        <f t="shared" si="2"/>
        <v>0</v>
      </c>
      <c r="I43" s="283"/>
    </row>
    <row r="44" spans="1:17" x14ac:dyDescent="0.2">
      <c r="A44" s="270" t="s">
        <v>16</v>
      </c>
      <c r="B44" s="271"/>
      <c r="C44" s="272"/>
      <c r="D44" s="321"/>
      <c r="E44" s="309"/>
      <c r="F44" s="180"/>
      <c r="G44" s="236">
        <f t="shared" si="1"/>
        <v>0</v>
      </c>
      <c r="H44" s="182">
        <f t="shared" si="2"/>
        <v>0</v>
      </c>
      <c r="I44" s="283"/>
    </row>
    <row r="45" spans="1:17" x14ac:dyDescent="0.2">
      <c r="A45" s="273">
        <v>5400</v>
      </c>
      <c r="B45" s="271">
        <v>2212</v>
      </c>
      <c r="C45" s="221" t="s">
        <v>18</v>
      </c>
      <c r="D45" s="322">
        <v>14000</v>
      </c>
      <c r="E45" s="307">
        <v>35000</v>
      </c>
      <c r="F45" s="185">
        <v>34888</v>
      </c>
      <c r="G45" s="238">
        <f t="shared" si="1"/>
        <v>249.2</v>
      </c>
      <c r="H45" s="187">
        <f t="shared" si="2"/>
        <v>99.68</v>
      </c>
      <c r="I45" s="283"/>
    </row>
    <row r="46" spans="1:17" x14ac:dyDescent="0.2">
      <c r="A46" s="273">
        <v>5400</v>
      </c>
      <c r="B46" s="271">
        <v>2219</v>
      </c>
      <c r="C46" s="221" t="s">
        <v>50</v>
      </c>
      <c r="D46" s="323">
        <v>96096</v>
      </c>
      <c r="E46" s="324">
        <v>101396</v>
      </c>
      <c r="F46" s="274">
        <v>97831</v>
      </c>
      <c r="G46" s="238">
        <f t="shared" si="1"/>
        <v>101.80548618048617</v>
      </c>
      <c r="H46" s="187">
        <f t="shared" si="2"/>
        <v>96.484082212316068</v>
      </c>
      <c r="I46" s="283"/>
    </row>
    <row r="47" spans="1:17" x14ac:dyDescent="0.2">
      <c r="A47" s="273">
        <v>5400</v>
      </c>
      <c r="B47" s="271">
        <v>2229</v>
      </c>
      <c r="C47" s="221" t="s">
        <v>200</v>
      </c>
      <c r="D47" s="323"/>
      <c r="E47" s="324">
        <v>6800</v>
      </c>
      <c r="F47" s="274">
        <v>4312</v>
      </c>
      <c r="G47" s="238">
        <f t="shared" si="1"/>
        <v>0</v>
      </c>
      <c r="H47" s="187">
        <f t="shared" si="2"/>
        <v>63.411764705882355</v>
      </c>
      <c r="I47" s="283"/>
    </row>
    <row r="48" spans="1:17" x14ac:dyDescent="0.2">
      <c r="A48" s="273">
        <v>5400</v>
      </c>
      <c r="B48" s="271">
        <v>2271</v>
      </c>
      <c r="C48" s="221" t="s">
        <v>19</v>
      </c>
      <c r="D48" s="323">
        <v>2500</v>
      </c>
      <c r="E48" s="324">
        <v>3500</v>
      </c>
      <c r="F48" s="274">
        <v>2390</v>
      </c>
      <c r="G48" s="238">
        <f t="shared" si="1"/>
        <v>95.6</v>
      </c>
      <c r="H48" s="187">
        <f t="shared" si="2"/>
        <v>68.285714285714278</v>
      </c>
      <c r="I48" s="283"/>
    </row>
    <row r="49" spans="1:9" x14ac:dyDescent="0.2">
      <c r="A49" s="273">
        <v>5400</v>
      </c>
      <c r="B49" s="271">
        <v>2299</v>
      </c>
      <c r="C49" s="221" t="s">
        <v>71</v>
      </c>
      <c r="D49" s="323"/>
      <c r="E49" s="323">
        <v>2798</v>
      </c>
      <c r="F49" s="274">
        <v>2798</v>
      </c>
      <c r="G49" s="238">
        <f t="shared" si="1"/>
        <v>0</v>
      </c>
      <c r="H49" s="187">
        <f t="shared" si="2"/>
        <v>100</v>
      </c>
      <c r="I49" s="283"/>
    </row>
    <row r="50" spans="1:9" x14ac:dyDescent="0.2">
      <c r="A50" s="273">
        <v>5400</v>
      </c>
      <c r="B50" s="271">
        <v>3636</v>
      </c>
      <c r="C50" s="221" t="s">
        <v>158</v>
      </c>
      <c r="D50" s="323">
        <v>779</v>
      </c>
      <c r="E50" s="323">
        <v>779</v>
      </c>
      <c r="F50" s="274">
        <v>644</v>
      </c>
      <c r="G50" s="268">
        <f t="shared" si="1"/>
        <v>82.670089858793332</v>
      </c>
      <c r="H50" s="214">
        <f t="shared" si="2"/>
        <v>82.670089858793332</v>
      </c>
      <c r="I50" s="283"/>
    </row>
    <row r="51" spans="1:9" x14ac:dyDescent="0.2">
      <c r="A51" s="270" t="s">
        <v>14</v>
      </c>
      <c r="B51" s="271"/>
      <c r="C51" s="272"/>
      <c r="D51" s="321">
        <f>SUBTOTAL(9,D45:D50)</f>
        <v>113375</v>
      </c>
      <c r="E51" s="309">
        <f>SUBTOTAL(9,E45:E50)</f>
        <v>150273</v>
      </c>
      <c r="F51" s="180">
        <f>SUBTOTAL(9,F45:F50)</f>
        <v>142863</v>
      </c>
      <c r="G51" s="257">
        <f t="shared" si="1"/>
        <v>126.00926130099228</v>
      </c>
      <c r="H51" s="267">
        <f t="shared" si="2"/>
        <v>95.068974466471019</v>
      </c>
      <c r="I51" s="283"/>
    </row>
    <row r="52" spans="1:9" x14ac:dyDescent="0.2">
      <c r="A52" s="270"/>
      <c r="B52" s="271"/>
      <c r="C52" s="272"/>
      <c r="D52" s="321"/>
      <c r="E52" s="309"/>
      <c r="F52" s="180"/>
      <c r="G52" s="268">
        <f t="shared" si="1"/>
        <v>0</v>
      </c>
      <c r="H52" s="214">
        <f t="shared" si="2"/>
        <v>0</v>
      </c>
      <c r="I52" s="283"/>
    </row>
    <row r="53" spans="1:9" x14ac:dyDescent="0.2">
      <c r="A53" s="270" t="s">
        <v>17</v>
      </c>
      <c r="B53" s="271"/>
      <c r="C53" s="272"/>
      <c r="D53" s="321"/>
      <c r="E53" s="309"/>
      <c r="F53" s="180"/>
      <c r="G53" s="236">
        <f t="shared" si="1"/>
        <v>0</v>
      </c>
      <c r="H53" s="182">
        <f t="shared" si="2"/>
        <v>0</v>
      </c>
      <c r="I53" s="283"/>
    </row>
    <row r="54" spans="1:9" x14ac:dyDescent="0.2">
      <c r="A54" s="273">
        <v>5600</v>
      </c>
      <c r="B54" s="261">
        <v>2143</v>
      </c>
      <c r="C54" s="221" t="s">
        <v>177</v>
      </c>
      <c r="D54" s="322">
        <v>8165</v>
      </c>
      <c r="E54" s="322">
        <v>20</v>
      </c>
      <c r="F54" s="185">
        <v>4</v>
      </c>
      <c r="G54" s="238">
        <f t="shared" si="1"/>
        <v>4.8989589712186157E-2</v>
      </c>
      <c r="H54" s="187">
        <f t="shared" si="2"/>
        <v>20</v>
      </c>
      <c r="I54" s="283"/>
    </row>
    <row r="55" spans="1:9" x14ac:dyDescent="0.2">
      <c r="A55" s="273">
        <v>5600</v>
      </c>
      <c r="B55" s="261">
        <v>2212</v>
      </c>
      <c r="C55" s="221" t="s">
        <v>18</v>
      </c>
      <c r="D55" s="322">
        <v>285590</v>
      </c>
      <c r="E55" s="322">
        <v>228393</v>
      </c>
      <c r="F55" s="185">
        <v>194081</v>
      </c>
      <c r="G55" s="238">
        <f t="shared" si="1"/>
        <v>67.957911691585835</v>
      </c>
      <c r="H55" s="187">
        <f t="shared" si="2"/>
        <v>84.976772493027369</v>
      </c>
      <c r="I55" s="283"/>
    </row>
    <row r="56" spans="1:9" x14ac:dyDescent="0.2">
      <c r="A56" s="273">
        <v>5600</v>
      </c>
      <c r="B56" s="261">
        <v>2219</v>
      </c>
      <c r="C56" s="221" t="s">
        <v>50</v>
      </c>
      <c r="D56" s="322">
        <v>20800</v>
      </c>
      <c r="E56" s="322">
        <v>11608</v>
      </c>
      <c r="F56" s="185">
        <v>8222</v>
      </c>
      <c r="G56" s="238">
        <f t="shared" si="1"/>
        <v>39.528846153846153</v>
      </c>
      <c r="H56" s="187">
        <f t="shared" si="2"/>
        <v>70.830461750516889</v>
      </c>
      <c r="I56" s="283"/>
    </row>
    <row r="57" spans="1:9" x14ac:dyDescent="0.2">
      <c r="A57" s="273">
        <v>5600</v>
      </c>
      <c r="B57" s="261">
        <v>2229</v>
      </c>
      <c r="C57" s="221" t="s">
        <v>200</v>
      </c>
      <c r="D57" s="322">
        <v>4670</v>
      </c>
      <c r="E57" s="322">
        <v>4670</v>
      </c>
      <c r="F57" s="185">
        <v>397</v>
      </c>
      <c r="G57" s="238">
        <f t="shared" si="1"/>
        <v>8.5010706638115643</v>
      </c>
      <c r="H57" s="187">
        <f t="shared" si="2"/>
        <v>8.5010706638115643</v>
      </c>
      <c r="I57" s="283"/>
    </row>
    <row r="58" spans="1:9" x14ac:dyDescent="0.2">
      <c r="A58" s="273">
        <v>5600</v>
      </c>
      <c r="B58" s="261">
        <v>2271</v>
      </c>
      <c r="C58" s="221" t="s">
        <v>19</v>
      </c>
      <c r="D58" s="322"/>
      <c r="E58" s="322">
        <v>10</v>
      </c>
      <c r="F58" s="185"/>
      <c r="G58" s="238"/>
      <c r="H58" s="187"/>
      <c r="I58" s="283"/>
    </row>
    <row r="59" spans="1:9" x14ac:dyDescent="0.2">
      <c r="A59" s="273">
        <v>5600</v>
      </c>
      <c r="B59" s="261">
        <v>2310</v>
      </c>
      <c r="C59" s="221" t="s">
        <v>5</v>
      </c>
      <c r="D59" s="322">
        <v>45731</v>
      </c>
      <c r="E59" s="322">
        <v>45731</v>
      </c>
      <c r="F59" s="185">
        <v>44560</v>
      </c>
      <c r="G59" s="238">
        <f t="shared" si="1"/>
        <v>97.439373728980343</v>
      </c>
      <c r="H59" s="187">
        <f t="shared" si="2"/>
        <v>97.439373728980343</v>
      </c>
      <c r="I59" s="283"/>
    </row>
    <row r="60" spans="1:9" x14ac:dyDescent="0.2">
      <c r="A60" s="273">
        <v>5600</v>
      </c>
      <c r="B60" s="261">
        <v>2321</v>
      </c>
      <c r="C60" s="221" t="s">
        <v>49</v>
      </c>
      <c r="D60" s="322">
        <v>622969</v>
      </c>
      <c r="E60" s="322">
        <v>507959</v>
      </c>
      <c r="F60" s="185">
        <v>437349</v>
      </c>
      <c r="G60" s="238">
        <f t="shared" si="1"/>
        <v>70.203974836629115</v>
      </c>
      <c r="H60" s="187">
        <f t="shared" si="2"/>
        <v>86.099271791620978</v>
      </c>
      <c r="I60" s="283"/>
    </row>
    <row r="61" spans="1:9" x14ac:dyDescent="0.2">
      <c r="A61" s="273">
        <v>5600</v>
      </c>
      <c r="B61" s="261">
        <v>2329</v>
      </c>
      <c r="C61" s="221" t="s">
        <v>20</v>
      </c>
      <c r="D61" s="322">
        <v>26650</v>
      </c>
      <c r="E61" s="322">
        <v>11650</v>
      </c>
      <c r="F61" s="185">
        <v>6684</v>
      </c>
      <c r="G61" s="238">
        <f t="shared" si="1"/>
        <v>25.080675422138839</v>
      </c>
      <c r="H61" s="187">
        <f t="shared" si="2"/>
        <v>57.373390557939921</v>
      </c>
      <c r="I61" s="283"/>
    </row>
    <row r="62" spans="1:9" x14ac:dyDescent="0.2">
      <c r="A62" s="273">
        <v>5600</v>
      </c>
      <c r="B62" s="261">
        <v>2333</v>
      </c>
      <c r="C62" s="221" t="s">
        <v>21</v>
      </c>
      <c r="D62" s="322">
        <v>28000</v>
      </c>
      <c r="E62" s="322">
        <v>2000</v>
      </c>
      <c r="F62" s="185">
        <v>726</v>
      </c>
      <c r="G62" s="238">
        <f t="shared" si="1"/>
        <v>2.592857142857143</v>
      </c>
      <c r="H62" s="187">
        <f t="shared" si="2"/>
        <v>36.299999999999997</v>
      </c>
      <c r="I62" s="283"/>
    </row>
    <row r="63" spans="1:9" x14ac:dyDescent="0.2">
      <c r="A63" s="273">
        <v>5600</v>
      </c>
      <c r="B63" s="261">
        <v>2339</v>
      </c>
      <c r="C63" s="221" t="s">
        <v>223</v>
      </c>
      <c r="D63" s="322">
        <v>4500</v>
      </c>
      <c r="E63" s="322">
        <v>2000</v>
      </c>
      <c r="F63" s="185">
        <v>1971</v>
      </c>
      <c r="G63" s="238">
        <f t="shared" si="1"/>
        <v>43.8</v>
      </c>
      <c r="H63" s="187">
        <f t="shared" si="2"/>
        <v>98.550000000000011</v>
      </c>
      <c r="I63" s="283"/>
    </row>
    <row r="64" spans="1:9" x14ac:dyDescent="0.2">
      <c r="A64" s="273">
        <v>5600</v>
      </c>
      <c r="B64" s="261">
        <v>3111</v>
      </c>
      <c r="C64" s="221" t="s">
        <v>91</v>
      </c>
      <c r="D64" s="322">
        <v>25760</v>
      </c>
      <c r="E64" s="322">
        <v>11971</v>
      </c>
      <c r="F64" s="185">
        <v>9713</v>
      </c>
      <c r="G64" s="238">
        <f t="shared" si="1"/>
        <v>37.705745341614907</v>
      </c>
      <c r="H64" s="187">
        <f t="shared" si="2"/>
        <v>81.137749561440145</v>
      </c>
      <c r="I64" s="283"/>
    </row>
    <row r="65" spans="1:9" x14ac:dyDescent="0.2">
      <c r="A65" s="273">
        <v>5600</v>
      </c>
      <c r="B65" s="261">
        <v>3113</v>
      </c>
      <c r="C65" s="221" t="s">
        <v>22</v>
      </c>
      <c r="D65" s="322">
        <v>280</v>
      </c>
      <c r="E65" s="322">
        <v>22529</v>
      </c>
      <c r="F65" s="185">
        <v>17424</v>
      </c>
      <c r="G65" s="238">
        <f t="shared" si="1"/>
        <v>6222.8571428571431</v>
      </c>
      <c r="H65" s="187">
        <f t="shared" si="2"/>
        <v>77.340316924852416</v>
      </c>
      <c r="I65" s="283"/>
    </row>
    <row r="66" spans="1:9" x14ac:dyDescent="0.2">
      <c r="A66" s="273">
        <v>5600</v>
      </c>
      <c r="B66" s="261">
        <v>3231</v>
      </c>
      <c r="C66" s="221" t="s">
        <v>297</v>
      </c>
      <c r="D66" s="322"/>
      <c r="E66" s="322">
        <v>100</v>
      </c>
      <c r="F66" s="185"/>
      <c r="G66" s="238"/>
      <c r="H66" s="187"/>
      <c r="I66" s="283"/>
    </row>
    <row r="67" spans="1:9" x14ac:dyDescent="0.2">
      <c r="A67" s="273">
        <v>5600</v>
      </c>
      <c r="B67" s="261">
        <v>3311</v>
      </c>
      <c r="C67" s="221" t="s">
        <v>23</v>
      </c>
      <c r="D67" s="322">
        <v>63000</v>
      </c>
      <c r="E67" s="322">
        <v>26380</v>
      </c>
      <c r="F67" s="185">
        <v>23624</v>
      </c>
      <c r="G67" s="238">
        <f t="shared" si="1"/>
        <v>37.4984126984127</v>
      </c>
      <c r="H67" s="187">
        <f t="shared" si="2"/>
        <v>89.552691432903714</v>
      </c>
      <c r="I67" s="283"/>
    </row>
    <row r="68" spans="1:9" x14ac:dyDescent="0.2">
      <c r="A68" s="273">
        <v>5600</v>
      </c>
      <c r="B68" s="261">
        <v>3312</v>
      </c>
      <c r="C68" s="221" t="s">
        <v>85</v>
      </c>
      <c r="D68" s="322">
        <v>20000</v>
      </c>
      <c r="E68" s="322">
        <v>20000</v>
      </c>
      <c r="F68" s="185">
        <v>3010</v>
      </c>
      <c r="G68" s="238">
        <f t="shared" si="1"/>
        <v>15.049999999999999</v>
      </c>
      <c r="H68" s="187">
        <f t="shared" si="2"/>
        <v>15.049999999999999</v>
      </c>
      <c r="I68" s="283"/>
    </row>
    <row r="69" spans="1:9" x14ac:dyDescent="0.2">
      <c r="A69" s="273">
        <v>5600</v>
      </c>
      <c r="B69" s="261">
        <v>3314</v>
      </c>
      <c r="C69" s="221" t="s">
        <v>86</v>
      </c>
      <c r="D69" s="322">
        <v>2000</v>
      </c>
      <c r="E69" s="322">
        <v>1200</v>
      </c>
      <c r="F69" s="185">
        <v>852</v>
      </c>
      <c r="G69" s="238">
        <f t="shared" si="1"/>
        <v>42.6</v>
      </c>
      <c r="H69" s="187">
        <f t="shared" si="2"/>
        <v>71</v>
      </c>
      <c r="I69" s="283"/>
    </row>
    <row r="70" spans="1:9" x14ac:dyDescent="0.2">
      <c r="A70" s="273">
        <v>5600</v>
      </c>
      <c r="B70" s="261">
        <v>3317</v>
      </c>
      <c r="C70" s="221" t="s">
        <v>88</v>
      </c>
      <c r="D70" s="322">
        <v>140</v>
      </c>
      <c r="E70" s="322">
        <v>15</v>
      </c>
      <c r="F70" s="185">
        <v>15</v>
      </c>
      <c r="G70" s="238">
        <f t="shared" si="1"/>
        <v>10.714285714285714</v>
      </c>
      <c r="H70" s="187">
        <f t="shared" si="2"/>
        <v>100</v>
      </c>
      <c r="I70" s="283"/>
    </row>
    <row r="71" spans="1:9" x14ac:dyDescent="0.2">
      <c r="A71" s="273">
        <v>5600</v>
      </c>
      <c r="B71" s="261">
        <v>3322</v>
      </c>
      <c r="C71" s="221" t="s">
        <v>26</v>
      </c>
      <c r="D71" s="322">
        <v>5000</v>
      </c>
      <c r="E71" s="322">
        <v>2010</v>
      </c>
      <c r="F71" s="185">
        <v>1300</v>
      </c>
      <c r="G71" s="238">
        <f t="shared" si="1"/>
        <v>26</v>
      </c>
      <c r="H71" s="187">
        <f t="shared" si="2"/>
        <v>64.676616915422898</v>
      </c>
      <c r="I71" s="283"/>
    </row>
    <row r="72" spans="1:9" x14ac:dyDescent="0.2">
      <c r="A72" s="273">
        <v>5600</v>
      </c>
      <c r="B72" s="261">
        <v>3392</v>
      </c>
      <c r="C72" s="221" t="s">
        <v>298</v>
      </c>
      <c r="D72" s="322"/>
      <c r="E72" s="322">
        <v>100</v>
      </c>
      <c r="F72" s="185">
        <v>4</v>
      </c>
      <c r="G72" s="238"/>
      <c r="H72" s="187">
        <f t="shared" si="2"/>
        <v>4</v>
      </c>
      <c r="I72" s="283"/>
    </row>
    <row r="73" spans="1:9" x14ac:dyDescent="0.2">
      <c r="A73" s="273">
        <v>5600</v>
      </c>
      <c r="B73" s="261">
        <v>3412</v>
      </c>
      <c r="C73" s="221" t="s">
        <v>192</v>
      </c>
      <c r="D73" s="322">
        <v>5000</v>
      </c>
      <c r="E73" s="322">
        <v>200</v>
      </c>
      <c r="F73" s="185">
        <v>109</v>
      </c>
      <c r="G73" s="238">
        <f t="shared" si="1"/>
        <v>2.1800000000000002</v>
      </c>
      <c r="H73" s="187">
        <f t="shared" si="2"/>
        <v>54.500000000000007</v>
      </c>
      <c r="I73" s="283"/>
    </row>
    <row r="74" spans="1:9" x14ac:dyDescent="0.2">
      <c r="A74" s="273">
        <v>5600</v>
      </c>
      <c r="B74" s="261">
        <v>3419</v>
      </c>
      <c r="C74" s="221" t="s">
        <v>46</v>
      </c>
      <c r="D74" s="322">
        <v>20000</v>
      </c>
      <c r="E74" s="322">
        <v>37250</v>
      </c>
      <c r="F74" s="185">
        <v>26485</v>
      </c>
      <c r="G74" s="238">
        <f t="shared" ref="G74:G141" si="3">IF(D74&lt;=0,0,$F74/D74*100)</f>
        <v>132.42499999999998</v>
      </c>
      <c r="H74" s="187">
        <f t="shared" ref="H74:H141" si="4">IF(E74&lt;=0,0,$F74/E74*100)</f>
        <v>71.100671140939596</v>
      </c>
      <c r="I74" s="283"/>
    </row>
    <row r="75" spans="1:9" x14ac:dyDescent="0.2">
      <c r="A75" s="273">
        <v>5600</v>
      </c>
      <c r="B75" s="261">
        <v>3421</v>
      </c>
      <c r="C75" s="221" t="s">
        <v>90</v>
      </c>
      <c r="D75" s="322">
        <v>100</v>
      </c>
      <c r="E75" s="322">
        <v>374</v>
      </c>
      <c r="F75" s="185">
        <v>158</v>
      </c>
      <c r="G75" s="238">
        <f t="shared" si="3"/>
        <v>158</v>
      </c>
      <c r="H75" s="187">
        <f t="shared" si="4"/>
        <v>42.245989304812838</v>
      </c>
      <c r="I75" s="283"/>
    </row>
    <row r="76" spans="1:9" x14ac:dyDescent="0.2">
      <c r="A76" s="273">
        <v>5600</v>
      </c>
      <c r="B76" s="261">
        <v>3429</v>
      </c>
      <c r="C76" s="221" t="s">
        <v>55</v>
      </c>
      <c r="D76" s="322"/>
      <c r="E76" s="322">
        <v>55</v>
      </c>
      <c r="F76" s="185">
        <v>10</v>
      </c>
      <c r="G76" s="238">
        <f t="shared" si="3"/>
        <v>0</v>
      </c>
      <c r="H76" s="187">
        <f t="shared" si="4"/>
        <v>18.181818181818183</v>
      </c>
      <c r="I76" s="283"/>
    </row>
    <row r="77" spans="1:9" x14ac:dyDescent="0.2">
      <c r="A77" s="273">
        <v>5600</v>
      </c>
      <c r="B77" s="261">
        <v>3511</v>
      </c>
      <c r="C77" s="221" t="s">
        <v>12</v>
      </c>
      <c r="D77" s="322">
        <v>23000</v>
      </c>
      <c r="E77" s="322">
        <v>22100</v>
      </c>
      <c r="F77" s="185">
        <v>20053</v>
      </c>
      <c r="G77" s="238">
        <f t="shared" si="3"/>
        <v>87.186956521739134</v>
      </c>
      <c r="H77" s="187">
        <f t="shared" si="4"/>
        <v>90.737556561085981</v>
      </c>
      <c r="I77" s="283"/>
    </row>
    <row r="78" spans="1:9" x14ac:dyDescent="0.2">
      <c r="A78" s="273">
        <v>5600</v>
      </c>
      <c r="B78" s="261">
        <v>3522</v>
      </c>
      <c r="C78" s="221" t="s">
        <v>193</v>
      </c>
      <c r="D78" s="322"/>
      <c r="E78" s="322">
        <v>1323</v>
      </c>
      <c r="F78" s="185">
        <v>1323</v>
      </c>
      <c r="G78" s="238"/>
      <c r="H78" s="187">
        <f t="shared" si="4"/>
        <v>100</v>
      </c>
      <c r="I78" s="283"/>
    </row>
    <row r="79" spans="1:9" x14ac:dyDescent="0.2">
      <c r="A79" s="273">
        <v>5600</v>
      </c>
      <c r="B79" s="261">
        <v>3599</v>
      </c>
      <c r="C79" s="221" t="s">
        <v>82</v>
      </c>
      <c r="D79" s="322"/>
      <c r="E79" s="322">
        <v>15</v>
      </c>
      <c r="F79" s="185">
        <v>10</v>
      </c>
      <c r="G79" s="238">
        <f t="shared" si="3"/>
        <v>0</v>
      </c>
      <c r="H79" s="187">
        <f t="shared" si="4"/>
        <v>66.666666666666657</v>
      </c>
      <c r="I79" s="283"/>
    </row>
    <row r="80" spans="1:9" x14ac:dyDescent="0.2">
      <c r="A80" s="273">
        <v>5600</v>
      </c>
      <c r="B80" s="261">
        <v>3612</v>
      </c>
      <c r="C80" s="221" t="s">
        <v>11</v>
      </c>
      <c r="D80" s="322">
        <v>14110</v>
      </c>
      <c r="E80" s="322">
        <v>8830</v>
      </c>
      <c r="F80" s="185">
        <v>8808</v>
      </c>
      <c r="G80" s="238">
        <f t="shared" si="3"/>
        <v>62.423812898653438</v>
      </c>
      <c r="H80" s="187">
        <f t="shared" si="4"/>
        <v>99.750849377123444</v>
      </c>
      <c r="I80" s="283"/>
    </row>
    <row r="81" spans="1:9" x14ac:dyDescent="0.2">
      <c r="A81" s="273">
        <v>5600</v>
      </c>
      <c r="B81" s="261">
        <v>3632</v>
      </c>
      <c r="C81" s="221" t="s">
        <v>1</v>
      </c>
      <c r="D81" s="322">
        <v>34175</v>
      </c>
      <c r="E81" s="322">
        <v>20950</v>
      </c>
      <c r="F81" s="185">
        <v>20356</v>
      </c>
      <c r="G81" s="238">
        <f t="shared" si="3"/>
        <v>59.564008778346746</v>
      </c>
      <c r="H81" s="187">
        <f t="shared" si="4"/>
        <v>97.164677804295934</v>
      </c>
      <c r="I81" s="283"/>
    </row>
    <row r="82" spans="1:9" x14ac:dyDescent="0.2">
      <c r="A82" s="273">
        <v>5600</v>
      </c>
      <c r="B82" s="261">
        <v>3633</v>
      </c>
      <c r="C82" s="221" t="s">
        <v>43</v>
      </c>
      <c r="D82" s="322">
        <v>30000</v>
      </c>
      <c r="E82" s="322">
        <v>21000</v>
      </c>
      <c r="F82" s="185">
        <v>20001</v>
      </c>
      <c r="G82" s="238">
        <f t="shared" si="3"/>
        <v>66.67</v>
      </c>
      <c r="H82" s="187">
        <f t="shared" si="4"/>
        <v>95.242857142857133</v>
      </c>
      <c r="I82" s="283"/>
    </row>
    <row r="83" spans="1:9" x14ac:dyDescent="0.2">
      <c r="A83" s="273">
        <v>5600</v>
      </c>
      <c r="B83" s="261">
        <v>3639</v>
      </c>
      <c r="C83" s="221" t="s">
        <v>39</v>
      </c>
      <c r="D83" s="322">
        <v>20355</v>
      </c>
      <c r="E83" s="322">
        <v>672</v>
      </c>
      <c r="F83" s="185">
        <v>1</v>
      </c>
      <c r="G83" s="238">
        <f t="shared" si="3"/>
        <v>4.9127978383689515E-3</v>
      </c>
      <c r="H83" s="187">
        <f t="shared" si="4"/>
        <v>0.14880952380952381</v>
      </c>
      <c r="I83" s="283"/>
    </row>
    <row r="84" spans="1:9" x14ac:dyDescent="0.2">
      <c r="A84" s="273">
        <v>5600</v>
      </c>
      <c r="B84" s="261">
        <v>3725</v>
      </c>
      <c r="C84" s="221" t="s">
        <v>219</v>
      </c>
      <c r="D84" s="322">
        <v>1720</v>
      </c>
      <c r="E84" s="322">
        <v>5</v>
      </c>
      <c r="F84" s="185"/>
      <c r="G84" s="238">
        <f t="shared" si="3"/>
        <v>0</v>
      </c>
      <c r="H84" s="187">
        <f t="shared" si="4"/>
        <v>0</v>
      </c>
      <c r="I84" s="283"/>
    </row>
    <row r="85" spans="1:9" x14ac:dyDescent="0.2">
      <c r="A85" s="273">
        <v>5600</v>
      </c>
      <c r="B85" s="261">
        <v>3741</v>
      </c>
      <c r="C85" s="221" t="s">
        <v>6</v>
      </c>
      <c r="D85" s="322">
        <v>20980</v>
      </c>
      <c r="E85" s="322">
        <v>14510</v>
      </c>
      <c r="F85" s="185">
        <v>14017</v>
      </c>
      <c r="G85" s="238">
        <f t="shared" si="3"/>
        <v>66.811248808388939</v>
      </c>
      <c r="H85" s="187">
        <f t="shared" si="4"/>
        <v>96.60234321157823</v>
      </c>
      <c r="I85" s="283"/>
    </row>
    <row r="86" spans="1:9" x14ac:dyDescent="0.2">
      <c r="A86" s="273">
        <v>5600</v>
      </c>
      <c r="B86" s="261">
        <v>3745</v>
      </c>
      <c r="C86" s="221" t="s">
        <v>2</v>
      </c>
      <c r="D86" s="322">
        <v>2090</v>
      </c>
      <c r="E86" s="322">
        <v>5340</v>
      </c>
      <c r="F86" s="185">
        <v>5047</v>
      </c>
      <c r="G86" s="238">
        <f t="shared" si="3"/>
        <v>241.48325358851673</v>
      </c>
      <c r="H86" s="187">
        <f t="shared" si="4"/>
        <v>94.513108614232209</v>
      </c>
      <c r="I86" s="283"/>
    </row>
    <row r="87" spans="1:9" x14ac:dyDescent="0.2">
      <c r="A87" s="273">
        <v>5600</v>
      </c>
      <c r="B87" s="261">
        <v>4350</v>
      </c>
      <c r="C87" s="269" t="s">
        <v>229</v>
      </c>
      <c r="D87" s="322"/>
      <c r="E87" s="322">
        <v>20</v>
      </c>
      <c r="F87" s="185">
        <v>15</v>
      </c>
      <c r="G87" s="238">
        <f t="shared" si="3"/>
        <v>0</v>
      </c>
      <c r="H87" s="187">
        <f t="shared" si="4"/>
        <v>75</v>
      </c>
      <c r="I87" s="283"/>
    </row>
    <row r="88" spans="1:9" x14ac:dyDescent="0.2">
      <c r="A88" s="273">
        <v>5600</v>
      </c>
      <c r="B88" s="261">
        <v>4354</v>
      </c>
      <c r="C88" s="221" t="s">
        <v>239</v>
      </c>
      <c r="D88" s="322"/>
      <c r="E88" s="322">
        <v>861</v>
      </c>
      <c r="F88" s="185"/>
      <c r="G88" s="238">
        <f t="shared" si="3"/>
        <v>0</v>
      </c>
      <c r="H88" s="187">
        <f t="shared" si="4"/>
        <v>0</v>
      </c>
      <c r="I88" s="283"/>
    </row>
    <row r="89" spans="1:9" x14ac:dyDescent="0.2">
      <c r="A89" s="273">
        <v>5600</v>
      </c>
      <c r="B89" s="261">
        <v>4357</v>
      </c>
      <c r="C89" s="275" t="s">
        <v>233</v>
      </c>
      <c r="D89" s="322"/>
      <c r="E89" s="322">
        <v>3077</v>
      </c>
      <c r="F89" s="185">
        <v>16</v>
      </c>
      <c r="G89" s="238">
        <f t="shared" si="3"/>
        <v>0</v>
      </c>
      <c r="H89" s="187">
        <f t="shared" si="4"/>
        <v>0.5199870003249919</v>
      </c>
      <c r="I89" s="283"/>
    </row>
    <row r="90" spans="1:9" x14ac:dyDescent="0.2">
      <c r="A90" s="273">
        <v>5600</v>
      </c>
      <c r="B90" s="261">
        <v>5311</v>
      </c>
      <c r="C90" s="275" t="s">
        <v>84</v>
      </c>
      <c r="D90" s="322">
        <v>18100</v>
      </c>
      <c r="E90" s="322">
        <v>13000</v>
      </c>
      <c r="F90" s="185">
        <v>11960</v>
      </c>
      <c r="G90" s="238">
        <f t="shared" si="3"/>
        <v>66.077348066298342</v>
      </c>
      <c r="H90" s="187">
        <f t="shared" si="4"/>
        <v>92</v>
      </c>
      <c r="I90" s="283"/>
    </row>
    <row r="91" spans="1:9" x14ac:dyDescent="0.2">
      <c r="A91" s="273">
        <v>5600</v>
      </c>
      <c r="B91" s="261">
        <v>5512</v>
      </c>
      <c r="C91" s="221" t="s">
        <v>253</v>
      </c>
      <c r="D91" s="322">
        <v>7830</v>
      </c>
      <c r="E91" s="322">
        <v>93</v>
      </c>
      <c r="F91" s="185"/>
      <c r="G91" s="238">
        <f t="shared" si="3"/>
        <v>0</v>
      </c>
      <c r="H91" s="187">
        <f t="shared" si="4"/>
        <v>0</v>
      </c>
      <c r="I91" s="283"/>
    </row>
    <row r="92" spans="1:9" x14ac:dyDescent="0.2">
      <c r="A92" s="273">
        <v>5600</v>
      </c>
      <c r="B92" s="261">
        <v>6171</v>
      </c>
      <c r="C92" s="221" t="s">
        <v>9</v>
      </c>
      <c r="D92" s="322">
        <v>22705</v>
      </c>
      <c r="E92" s="322">
        <v>20210</v>
      </c>
      <c r="F92" s="185">
        <v>18380</v>
      </c>
      <c r="G92" s="238">
        <f t="shared" si="3"/>
        <v>80.951332305659548</v>
      </c>
      <c r="H92" s="187">
        <f t="shared" si="4"/>
        <v>90.945076694705591</v>
      </c>
      <c r="I92" s="283"/>
    </row>
    <row r="93" spans="1:9" x14ac:dyDescent="0.2">
      <c r="A93" s="270" t="s">
        <v>15</v>
      </c>
      <c r="B93" s="271"/>
      <c r="C93" s="272"/>
      <c r="D93" s="321">
        <f>SUBTOTAL(9,D54:D92)</f>
        <v>1383420</v>
      </c>
      <c r="E93" s="309">
        <f>SUBTOTAL(9,E54:E92)</f>
        <v>1068231</v>
      </c>
      <c r="F93" s="180">
        <f>SUBTOTAL(9,F54:F92)</f>
        <v>896685</v>
      </c>
      <c r="G93" s="236">
        <f t="shared" si="3"/>
        <v>64.816541614260316</v>
      </c>
      <c r="H93" s="182">
        <f t="shared" si="4"/>
        <v>83.941113860204396</v>
      </c>
      <c r="I93" s="283"/>
    </row>
    <row r="94" spans="1:9" x14ac:dyDescent="0.2">
      <c r="A94" s="270"/>
      <c r="B94" s="271"/>
      <c r="C94" s="272"/>
      <c r="D94" s="321"/>
      <c r="E94" s="309"/>
      <c r="F94" s="180"/>
      <c r="G94" s="236">
        <f t="shared" si="3"/>
        <v>0</v>
      </c>
      <c r="H94" s="182">
        <f t="shared" si="4"/>
        <v>0</v>
      </c>
      <c r="I94" s="283"/>
    </row>
    <row r="95" spans="1:9" ht="12" customHeight="1" x14ac:dyDescent="0.2">
      <c r="A95" s="222" t="s">
        <v>267</v>
      </c>
      <c r="B95" s="276"/>
      <c r="C95" s="276"/>
      <c r="D95" s="321"/>
      <c r="E95" s="309"/>
      <c r="F95" s="180"/>
      <c r="G95" s="257">
        <f t="shared" si="3"/>
        <v>0</v>
      </c>
      <c r="H95" s="182">
        <f t="shared" si="4"/>
        <v>0</v>
      </c>
      <c r="I95" s="283"/>
    </row>
    <row r="96" spans="1:9" ht="12" customHeight="1" x14ac:dyDescent="0.2">
      <c r="A96" s="277">
        <v>5900</v>
      </c>
      <c r="B96" s="261">
        <v>3113</v>
      </c>
      <c r="C96" s="272" t="s">
        <v>22</v>
      </c>
      <c r="D96" s="322"/>
      <c r="E96" s="307">
        <v>20</v>
      </c>
      <c r="F96" s="185"/>
      <c r="G96" s="238">
        <f t="shared" si="3"/>
        <v>0</v>
      </c>
      <c r="H96" s="187">
        <f t="shared" si="4"/>
        <v>0</v>
      </c>
      <c r="I96" s="283"/>
    </row>
    <row r="97" spans="1:9" ht="12" customHeight="1" x14ac:dyDescent="0.2">
      <c r="A97" s="277">
        <v>5900</v>
      </c>
      <c r="B97" s="261">
        <v>3314</v>
      </c>
      <c r="C97" s="221" t="s">
        <v>86</v>
      </c>
      <c r="D97" s="322"/>
      <c r="E97" s="307">
        <v>4642</v>
      </c>
      <c r="F97" s="185">
        <v>4642</v>
      </c>
      <c r="G97" s="238">
        <f t="shared" si="3"/>
        <v>0</v>
      </c>
      <c r="H97" s="187">
        <f t="shared" si="4"/>
        <v>100</v>
      </c>
      <c r="I97" s="283"/>
    </row>
    <row r="98" spans="1:9" x14ac:dyDescent="0.2">
      <c r="A98" s="277">
        <v>5900</v>
      </c>
      <c r="B98" s="261">
        <v>3639</v>
      </c>
      <c r="C98" s="272" t="s">
        <v>119</v>
      </c>
      <c r="D98" s="322">
        <v>149150</v>
      </c>
      <c r="E98" s="307">
        <v>8409</v>
      </c>
      <c r="F98" s="185"/>
      <c r="G98" s="238">
        <f t="shared" si="3"/>
        <v>0</v>
      </c>
      <c r="H98" s="187">
        <f t="shared" si="4"/>
        <v>0</v>
      </c>
      <c r="I98" s="283"/>
    </row>
    <row r="99" spans="1:9" x14ac:dyDescent="0.2">
      <c r="A99" s="277">
        <v>5900</v>
      </c>
      <c r="B99" s="261">
        <v>3745</v>
      </c>
      <c r="C99" s="221" t="s">
        <v>2</v>
      </c>
      <c r="D99" s="322"/>
      <c r="E99" s="307">
        <v>24065</v>
      </c>
      <c r="F99" s="185">
        <v>24065</v>
      </c>
      <c r="G99" s="238">
        <f t="shared" ref="G99" si="5">IF(D99&lt;=0,0,$F99/D99*100)</f>
        <v>0</v>
      </c>
      <c r="H99" s="187">
        <f t="shared" ref="H99" si="6">IF(E99&lt;=0,0,$F99/E99*100)</f>
        <v>100</v>
      </c>
      <c r="I99" s="283"/>
    </row>
    <row r="100" spans="1:9" x14ac:dyDescent="0.2">
      <c r="A100" s="277">
        <v>5900</v>
      </c>
      <c r="B100" s="261">
        <v>5311</v>
      </c>
      <c r="C100" s="114" t="s">
        <v>31</v>
      </c>
      <c r="D100" s="322"/>
      <c r="E100" s="307">
        <v>60</v>
      </c>
      <c r="F100" s="185">
        <v>53</v>
      </c>
      <c r="G100" s="238">
        <f t="shared" si="3"/>
        <v>0</v>
      </c>
      <c r="H100" s="187">
        <f t="shared" si="4"/>
        <v>88.333333333333329</v>
      </c>
      <c r="I100" s="283"/>
    </row>
    <row r="101" spans="1:9" x14ac:dyDescent="0.2">
      <c r="A101" s="264" t="s">
        <v>268</v>
      </c>
      <c r="B101" s="265"/>
      <c r="C101" s="266"/>
      <c r="D101" s="321">
        <f>SUBTOTAL(9,D96:D100)</f>
        <v>149150</v>
      </c>
      <c r="E101" s="309">
        <f>SUBTOTAL(9,E96:E100)</f>
        <v>37196</v>
      </c>
      <c r="F101" s="180">
        <f>SUBTOTAL(9,F96:F100)</f>
        <v>28760</v>
      </c>
      <c r="G101" s="257">
        <f t="shared" si="3"/>
        <v>19.282601407978543</v>
      </c>
      <c r="H101" s="267">
        <f t="shared" si="4"/>
        <v>77.320141950747384</v>
      </c>
      <c r="I101" s="283"/>
    </row>
    <row r="102" spans="1:9" x14ac:dyDescent="0.2">
      <c r="A102" s="278"/>
      <c r="B102" s="265"/>
      <c r="C102" s="266"/>
      <c r="D102" s="321"/>
      <c r="E102" s="309"/>
      <c r="F102" s="180"/>
      <c r="G102" s="257">
        <f t="shared" si="3"/>
        <v>0</v>
      </c>
      <c r="H102" s="267">
        <f t="shared" si="4"/>
        <v>0</v>
      </c>
      <c r="I102" s="283"/>
    </row>
    <row r="103" spans="1:9" x14ac:dyDescent="0.2">
      <c r="A103" s="222" t="s">
        <v>202</v>
      </c>
      <c r="B103" s="276"/>
      <c r="C103" s="276"/>
      <c r="D103" s="321"/>
      <c r="E103" s="309"/>
      <c r="F103" s="180"/>
      <c r="G103" s="257">
        <f t="shared" si="3"/>
        <v>0</v>
      </c>
      <c r="H103" s="182">
        <f t="shared" si="4"/>
        <v>0</v>
      </c>
      <c r="I103" s="283"/>
    </row>
    <row r="104" spans="1:9" x14ac:dyDescent="0.2">
      <c r="A104" s="277">
        <v>6200</v>
      </c>
      <c r="B104" s="261">
        <v>3612</v>
      </c>
      <c r="C104" s="269" t="s">
        <v>11</v>
      </c>
      <c r="D104" s="322">
        <v>105376</v>
      </c>
      <c r="E104" s="322">
        <v>22400</v>
      </c>
      <c r="F104" s="185">
        <v>11941</v>
      </c>
      <c r="G104" s="238">
        <f t="shared" si="3"/>
        <v>11.331802307925903</v>
      </c>
      <c r="H104" s="187">
        <f t="shared" si="4"/>
        <v>53.308035714285715</v>
      </c>
      <c r="I104" s="283"/>
    </row>
    <row r="105" spans="1:9" x14ac:dyDescent="0.2">
      <c r="A105" s="277">
        <v>6200</v>
      </c>
      <c r="B105" s="261">
        <v>3619</v>
      </c>
      <c r="C105" s="89" t="s">
        <v>255</v>
      </c>
      <c r="D105" s="322"/>
      <c r="E105" s="322">
        <v>20715</v>
      </c>
      <c r="F105" s="185">
        <v>8880</v>
      </c>
      <c r="G105" s="238">
        <f t="shared" si="3"/>
        <v>0</v>
      </c>
      <c r="H105" s="187">
        <f t="shared" si="4"/>
        <v>42.867487328023174</v>
      </c>
      <c r="I105" s="283"/>
    </row>
    <row r="106" spans="1:9" x14ac:dyDescent="0.2">
      <c r="A106" s="277">
        <v>6200</v>
      </c>
      <c r="B106" s="261">
        <v>4351</v>
      </c>
      <c r="C106" s="266" t="s">
        <v>165</v>
      </c>
      <c r="D106" s="322">
        <v>54500</v>
      </c>
      <c r="E106" s="307">
        <v>13000</v>
      </c>
      <c r="F106" s="185">
        <v>9564</v>
      </c>
      <c r="G106" s="268">
        <f t="shared" si="3"/>
        <v>17.548623853211009</v>
      </c>
      <c r="H106" s="214">
        <f t="shared" si="4"/>
        <v>73.569230769230771</v>
      </c>
      <c r="I106" s="283"/>
    </row>
    <row r="107" spans="1:9" x14ac:dyDescent="0.2">
      <c r="A107" s="264" t="s">
        <v>75</v>
      </c>
      <c r="B107" s="265"/>
      <c r="C107" s="266"/>
      <c r="D107" s="321">
        <f>SUBTOTAL(9,D104:D106)</f>
        <v>159876</v>
      </c>
      <c r="E107" s="309">
        <f>SUBTOTAL(9,E104:E106)</f>
        <v>56115</v>
      </c>
      <c r="F107" s="180">
        <f>SUBTOTAL(9,F104:F106)</f>
        <v>30385</v>
      </c>
      <c r="G107" s="257">
        <f t="shared" si="3"/>
        <v>19.005354149465838</v>
      </c>
      <c r="H107" s="267">
        <f t="shared" si="4"/>
        <v>54.147732335382692</v>
      </c>
      <c r="I107" s="283"/>
    </row>
    <row r="108" spans="1:9" x14ac:dyDescent="0.2">
      <c r="A108" s="264"/>
      <c r="B108" s="265"/>
      <c r="C108" s="266"/>
      <c r="D108" s="321"/>
      <c r="E108" s="309"/>
      <c r="F108" s="180"/>
      <c r="G108" s="268">
        <f t="shared" si="3"/>
        <v>0</v>
      </c>
      <c r="H108" s="214">
        <f t="shared" si="4"/>
        <v>0</v>
      </c>
      <c r="I108" s="283"/>
    </row>
    <row r="109" spans="1:9" x14ac:dyDescent="0.2">
      <c r="A109" s="260" t="s">
        <v>189</v>
      </c>
      <c r="B109" s="261"/>
      <c r="C109" s="114"/>
      <c r="D109" s="321"/>
      <c r="E109" s="309"/>
      <c r="F109" s="180"/>
      <c r="G109" s="268">
        <f t="shared" si="3"/>
        <v>0</v>
      </c>
      <c r="H109" s="214">
        <f t="shared" si="4"/>
        <v>0</v>
      </c>
      <c r="I109" s="283"/>
    </row>
    <row r="110" spans="1:9" x14ac:dyDescent="0.2">
      <c r="A110" s="262">
        <v>6300</v>
      </c>
      <c r="B110" s="261">
        <v>3639</v>
      </c>
      <c r="C110" s="272" t="s">
        <v>39</v>
      </c>
      <c r="D110" s="322">
        <v>70000</v>
      </c>
      <c r="E110" s="307">
        <v>103598</v>
      </c>
      <c r="F110" s="185">
        <v>101192</v>
      </c>
      <c r="G110" s="238">
        <f t="shared" si="3"/>
        <v>144.56</v>
      </c>
      <c r="H110" s="214">
        <f t="shared" si="4"/>
        <v>97.677561342883067</v>
      </c>
      <c r="I110" s="283"/>
    </row>
    <row r="111" spans="1:9" x14ac:dyDescent="0.2">
      <c r="A111" s="264" t="s">
        <v>190</v>
      </c>
      <c r="B111" s="265"/>
      <c r="C111" s="266"/>
      <c r="D111" s="321">
        <f>SUBTOTAL(9,D110:D110)</f>
        <v>70000</v>
      </c>
      <c r="E111" s="309">
        <f>SUBTOTAL(9,E110)</f>
        <v>103598</v>
      </c>
      <c r="F111" s="180">
        <f>SUBTOTAL(9,F110:F110)</f>
        <v>101192</v>
      </c>
      <c r="G111" s="236">
        <f t="shared" si="3"/>
        <v>144.56</v>
      </c>
      <c r="H111" s="182">
        <f t="shared" si="4"/>
        <v>97.677561342883067</v>
      </c>
      <c r="I111" s="283"/>
    </row>
    <row r="112" spans="1:9" x14ac:dyDescent="0.2">
      <c r="A112" s="270"/>
      <c r="B112" s="271"/>
      <c r="C112" s="272"/>
      <c r="D112" s="321"/>
      <c r="E112" s="309"/>
      <c r="F112" s="180"/>
      <c r="G112" s="236">
        <f t="shared" si="3"/>
        <v>0</v>
      </c>
      <c r="H112" s="182">
        <f t="shared" si="4"/>
        <v>0</v>
      </c>
      <c r="I112" s="283"/>
    </row>
    <row r="113" spans="1:9" x14ac:dyDescent="0.2">
      <c r="A113" s="260" t="s">
        <v>204</v>
      </c>
      <c r="B113" s="261"/>
      <c r="C113" s="114"/>
      <c r="D113" s="321"/>
      <c r="E113" s="309"/>
      <c r="F113" s="180"/>
      <c r="G113" s="238">
        <f t="shared" si="3"/>
        <v>0</v>
      </c>
      <c r="H113" s="214">
        <f t="shared" si="4"/>
        <v>0</v>
      </c>
      <c r="I113" s="283"/>
    </row>
    <row r="114" spans="1:9" x14ac:dyDescent="0.2">
      <c r="A114" s="262">
        <v>6600</v>
      </c>
      <c r="B114" s="261">
        <v>3113</v>
      </c>
      <c r="C114" s="272" t="s">
        <v>22</v>
      </c>
      <c r="D114" s="322"/>
      <c r="E114" s="322">
        <v>700</v>
      </c>
      <c r="F114" s="185">
        <v>674</v>
      </c>
      <c r="G114" s="268">
        <f t="shared" si="3"/>
        <v>0</v>
      </c>
      <c r="H114" s="187">
        <f t="shared" si="4"/>
        <v>96.285714285714292</v>
      </c>
      <c r="I114" s="283"/>
    </row>
    <row r="115" spans="1:9" x14ac:dyDescent="0.2">
      <c r="A115" s="262">
        <v>6600</v>
      </c>
      <c r="B115" s="261">
        <v>3612</v>
      </c>
      <c r="C115" s="272" t="s">
        <v>11</v>
      </c>
      <c r="D115" s="322">
        <v>7200</v>
      </c>
      <c r="E115" s="322">
        <v>3700</v>
      </c>
      <c r="F115" s="185">
        <v>2156</v>
      </c>
      <c r="G115" s="268">
        <f t="shared" si="3"/>
        <v>29.944444444444446</v>
      </c>
      <c r="H115" s="187">
        <f t="shared" si="4"/>
        <v>58.270270270270274</v>
      </c>
      <c r="I115" s="283"/>
    </row>
    <row r="116" spans="1:9" x14ac:dyDescent="0.2">
      <c r="A116" s="262">
        <v>6600</v>
      </c>
      <c r="B116" s="261">
        <v>3639</v>
      </c>
      <c r="C116" s="272" t="s">
        <v>119</v>
      </c>
      <c r="D116" s="322">
        <v>9500</v>
      </c>
      <c r="E116" s="322">
        <v>17100</v>
      </c>
      <c r="F116" s="185">
        <v>15916</v>
      </c>
      <c r="G116" s="268">
        <f t="shared" si="3"/>
        <v>167.53684210526316</v>
      </c>
      <c r="H116" s="187">
        <f t="shared" si="4"/>
        <v>93.076023391812868</v>
      </c>
      <c r="I116" s="283"/>
    </row>
    <row r="117" spans="1:9" x14ac:dyDescent="0.2">
      <c r="A117" s="262">
        <v>6600</v>
      </c>
      <c r="B117" s="261">
        <v>6171</v>
      </c>
      <c r="C117" s="221" t="s">
        <v>9</v>
      </c>
      <c r="D117" s="322">
        <v>4000</v>
      </c>
      <c r="E117" s="322">
        <v>2600</v>
      </c>
      <c r="F117" s="185">
        <v>2340</v>
      </c>
      <c r="G117" s="268">
        <f t="shared" si="3"/>
        <v>58.5</v>
      </c>
      <c r="H117" s="187">
        <f t="shared" si="4"/>
        <v>90</v>
      </c>
      <c r="I117" s="283"/>
    </row>
    <row r="118" spans="1:9" x14ac:dyDescent="0.2">
      <c r="A118" s="264" t="s">
        <v>78</v>
      </c>
      <c r="B118" s="265"/>
      <c r="C118" s="266"/>
      <c r="D118" s="321">
        <f>SUBTOTAL(9,D114:D117)</f>
        <v>20700</v>
      </c>
      <c r="E118" s="321">
        <f>SUBTOTAL(9,E114:E117)</f>
        <v>24100</v>
      </c>
      <c r="F118" s="235">
        <f>SUBTOTAL(9,F114:F117)</f>
        <v>21086</v>
      </c>
      <c r="G118" s="236">
        <f t="shared" si="3"/>
        <v>101.8647342995169</v>
      </c>
      <c r="H118" s="182">
        <f t="shared" si="4"/>
        <v>87.493775933609967</v>
      </c>
      <c r="I118" s="283"/>
    </row>
    <row r="119" spans="1:9" x14ac:dyDescent="0.2">
      <c r="A119" s="270"/>
      <c r="B119" s="271"/>
      <c r="C119" s="272"/>
      <c r="D119" s="321"/>
      <c r="E119" s="309"/>
      <c r="F119" s="180"/>
      <c r="G119" s="236">
        <f t="shared" si="3"/>
        <v>0</v>
      </c>
      <c r="H119" s="182">
        <f t="shared" si="4"/>
        <v>0</v>
      </c>
      <c r="I119" s="283"/>
    </row>
    <row r="120" spans="1:9" x14ac:dyDescent="0.2">
      <c r="A120" s="260" t="s">
        <v>38</v>
      </c>
      <c r="B120" s="261"/>
      <c r="C120" s="114"/>
      <c r="D120" s="321"/>
      <c r="E120" s="309"/>
      <c r="F120" s="180"/>
      <c r="G120" s="236">
        <f t="shared" si="3"/>
        <v>0</v>
      </c>
      <c r="H120" s="182">
        <f t="shared" si="4"/>
        <v>0</v>
      </c>
      <c r="I120" s="283"/>
    </row>
    <row r="121" spans="1:9" x14ac:dyDescent="0.2">
      <c r="A121" s="277">
        <v>6700</v>
      </c>
      <c r="B121" s="261">
        <v>3119</v>
      </c>
      <c r="C121" s="114" t="s">
        <v>234</v>
      </c>
      <c r="D121" s="322">
        <v>78600</v>
      </c>
      <c r="E121" s="307"/>
      <c r="F121" s="185"/>
      <c r="G121" s="238">
        <f t="shared" si="3"/>
        <v>0</v>
      </c>
      <c r="H121" s="187">
        <f t="shared" si="4"/>
        <v>0</v>
      </c>
      <c r="I121" s="283"/>
    </row>
    <row r="122" spans="1:9" x14ac:dyDescent="0.2">
      <c r="A122" s="277">
        <v>6700</v>
      </c>
      <c r="B122" s="261">
        <v>3419</v>
      </c>
      <c r="C122" s="114" t="s">
        <v>46</v>
      </c>
      <c r="D122" s="322">
        <v>85000</v>
      </c>
      <c r="E122" s="307">
        <v>53954</v>
      </c>
      <c r="F122" s="185">
        <v>53945</v>
      </c>
      <c r="G122" s="268">
        <f t="shared" si="3"/>
        <v>63.464705882352945</v>
      </c>
      <c r="H122" s="214">
        <f t="shared" si="4"/>
        <v>99.983319123697967</v>
      </c>
      <c r="I122" s="283"/>
    </row>
    <row r="123" spans="1:9" x14ac:dyDescent="0.2">
      <c r="A123" s="260" t="s">
        <v>254</v>
      </c>
      <c r="B123" s="261"/>
      <c r="C123" s="114"/>
      <c r="D123" s="321">
        <f>SUBTOTAL(9,D121:D122)</f>
        <v>163600</v>
      </c>
      <c r="E123" s="309">
        <f>SUBTOTAL(9,E121:E122)</f>
        <v>53954</v>
      </c>
      <c r="F123" s="180">
        <f>SUBTOTAL(9,F121:F122)</f>
        <v>53945</v>
      </c>
      <c r="G123" s="257">
        <f t="shared" si="3"/>
        <v>32.973716381418093</v>
      </c>
      <c r="H123" s="267">
        <f t="shared" si="4"/>
        <v>99.983319123697967</v>
      </c>
      <c r="I123" s="283"/>
    </row>
    <row r="124" spans="1:9" x14ac:dyDescent="0.2">
      <c r="A124" s="270"/>
      <c r="B124" s="271"/>
      <c r="C124" s="272"/>
      <c r="D124" s="321"/>
      <c r="E124" s="309"/>
      <c r="F124" s="180"/>
      <c r="G124" s="236">
        <f t="shared" si="3"/>
        <v>0</v>
      </c>
      <c r="H124" s="182">
        <f t="shared" si="4"/>
        <v>0</v>
      </c>
      <c r="I124" s="283"/>
    </row>
    <row r="125" spans="1:9" x14ac:dyDescent="0.2">
      <c r="A125" s="260" t="s">
        <v>179</v>
      </c>
      <c r="B125" s="261"/>
      <c r="C125" s="114"/>
      <c r="D125" s="321"/>
      <c r="E125" s="309"/>
      <c r="F125" s="180"/>
      <c r="G125" s="238">
        <f t="shared" si="3"/>
        <v>0</v>
      </c>
      <c r="H125" s="214">
        <f t="shared" si="4"/>
        <v>0</v>
      </c>
      <c r="I125" s="283"/>
    </row>
    <row r="126" spans="1:9" x14ac:dyDescent="0.2">
      <c r="A126" s="262">
        <v>7100</v>
      </c>
      <c r="B126" s="261">
        <v>3522</v>
      </c>
      <c r="C126" s="89" t="s">
        <v>193</v>
      </c>
      <c r="D126" s="322">
        <v>6200</v>
      </c>
      <c r="E126" s="322">
        <v>10677</v>
      </c>
      <c r="F126" s="263">
        <v>10676</v>
      </c>
      <c r="G126" s="238">
        <f t="shared" si="3"/>
        <v>172.19354838709677</v>
      </c>
      <c r="H126" s="187">
        <f t="shared" si="4"/>
        <v>99.990634073241552</v>
      </c>
      <c r="I126" s="283"/>
    </row>
    <row r="127" spans="1:9" x14ac:dyDescent="0.2">
      <c r="A127" s="262">
        <v>7100</v>
      </c>
      <c r="B127" s="261">
        <v>3599</v>
      </c>
      <c r="C127" s="221" t="s">
        <v>82</v>
      </c>
      <c r="D127" s="322">
        <v>589</v>
      </c>
      <c r="E127" s="322">
        <v>193</v>
      </c>
      <c r="F127" s="185">
        <v>193</v>
      </c>
      <c r="G127" s="238">
        <f t="shared" si="3"/>
        <v>32.767402376910013</v>
      </c>
      <c r="H127" s="187">
        <f t="shared" si="4"/>
        <v>100</v>
      </c>
      <c r="I127" s="283"/>
    </row>
    <row r="128" spans="1:9" x14ac:dyDescent="0.2">
      <c r="A128" s="262">
        <v>7100</v>
      </c>
      <c r="B128" s="261">
        <v>3900</v>
      </c>
      <c r="C128" s="87" t="s">
        <v>224</v>
      </c>
      <c r="D128" s="322"/>
      <c r="E128" s="322">
        <v>2566</v>
      </c>
      <c r="F128" s="185">
        <v>2566</v>
      </c>
      <c r="G128" s="238">
        <f t="shared" si="3"/>
        <v>0</v>
      </c>
      <c r="H128" s="187">
        <f t="shared" si="4"/>
        <v>100</v>
      </c>
      <c r="I128" s="283"/>
    </row>
    <row r="129" spans="1:9" x14ac:dyDescent="0.2">
      <c r="A129" s="264" t="s">
        <v>13</v>
      </c>
      <c r="B129" s="265"/>
      <c r="C129" s="266"/>
      <c r="D129" s="321">
        <f>SUBTOTAL(9,D126:D128)</f>
        <v>6789</v>
      </c>
      <c r="E129" s="309">
        <f>SUBTOTAL(9,E126:E128)</f>
        <v>13436</v>
      </c>
      <c r="F129" s="180">
        <f>SUBTOTAL(9,F126:F128)</f>
        <v>13435</v>
      </c>
      <c r="G129" s="236">
        <f t="shared" si="3"/>
        <v>197.89365149506554</v>
      </c>
      <c r="H129" s="182">
        <f t="shared" si="4"/>
        <v>99.992557308722823</v>
      </c>
      <c r="I129" s="283"/>
    </row>
    <row r="130" spans="1:9" x14ac:dyDescent="0.2">
      <c r="A130" s="264"/>
      <c r="B130" s="265"/>
      <c r="C130" s="266"/>
      <c r="D130" s="321"/>
      <c r="E130" s="309"/>
      <c r="F130" s="180"/>
      <c r="G130" s="236">
        <f t="shared" si="3"/>
        <v>0</v>
      </c>
      <c r="H130" s="182">
        <f t="shared" si="4"/>
        <v>0</v>
      </c>
      <c r="I130" s="283"/>
    </row>
    <row r="131" spans="1:9" x14ac:dyDescent="0.2">
      <c r="A131" s="260" t="s">
        <v>37</v>
      </c>
      <c r="B131" s="261"/>
      <c r="C131" s="114"/>
      <c r="D131" s="321"/>
      <c r="E131" s="309"/>
      <c r="F131" s="180"/>
      <c r="G131" s="238">
        <f t="shared" si="3"/>
        <v>0</v>
      </c>
      <c r="H131" s="214">
        <f t="shared" si="4"/>
        <v>0</v>
      </c>
      <c r="I131" s="283"/>
    </row>
    <row r="132" spans="1:9" x14ac:dyDescent="0.2">
      <c r="A132" s="262">
        <v>7200</v>
      </c>
      <c r="B132" s="179">
        <v>4341</v>
      </c>
      <c r="C132" s="87" t="s">
        <v>203</v>
      </c>
      <c r="D132" s="322"/>
      <c r="E132" s="307">
        <v>127</v>
      </c>
      <c r="F132" s="185"/>
      <c r="G132" s="238">
        <f t="shared" si="3"/>
        <v>0</v>
      </c>
      <c r="H132" s="187">
        <f t="shared" si="4"/>
        <v>0</v>
      </c>
      <c r="I132" s="283"/>
    </row>
    <row r="133" spans="1:9" x14ac:dyDescent="0.2">
      <c r="A133" s="262">
        <v>7200</v>
      </c>
      <c r="B133" s="179">
        <v>4342</v>
      </c>
      <c r="C133" s="87" t="s">
        <v>83</v>
      </c>
      <c r="D133" s="322"/>
      <c r="E133" s="307">
        <v>285</v>
      </c>
      <c r="F133" s="185">
        <v>285</v>
      </c>
      <c r="G133" s="238"/>
      <c r="H133" s="187"/>
      <c r="I133" s="283"/>
    </row>
    <row r="134" spans="1:9" x14ac:dyDescent="0.2">
      <c r="A134" s="262">
        <v>7200</v>
      </c>
      <c r="B134" s="179">
        <v>4350</v>
      </c>
      <c r="C134" s="87" t="s">
        <v>229</v>
      </c>
      <c r="D134" s="322">
        <v>2900</v>
      </c>
      <c r="E134" s="307">
        <v>6750</v>
      </c>
      <c r="F134" s="185">
        <v>6654</v>
      </c>
      <c r="G134" s="238">
        <f t="shared" si="3"/>
        <v>229.44827586206898</v>
      </c>
      <c r="H134" s="187">
        <f t="shared" si="4"/>
        <v>98.577777777777769</v>
      </c>
      <c r="I134" s="283"/>
    </row>
    <row r="135" spans="1:9" x14ac:dyDescent="0.2">
      <c r="A135" s="262">
        <v>7200</v>
      </c>
      <c r="B135" s="179">
        <v>4354</v>
      </c>
      <c r="C135" s="87" t="s">
        <v>239</v>
      </c>
      <c r="D135" s="322"/>
      <c r="E135" s="307">
        <v>39</v>
      </c>
      <c r="F135" s="185">
        <v>38</v>
      </c>
      <c r="G135" s="238"/>
      <c r="H135" s="187"/>
      <c r="I135" s="283"/>
    </row>
    <row r="136" spans="1:9" x14ac:dyDescent="0.2">
      <c r="A136" s="262">
        <v>7200</v>
      </c>
      <c r="B136" s="179">
        <v>4357</v>
      </c>
      <c r="C136" s="105" t="s">
        <v>230</v>
      </c>
      <c r="D136" s="322">
        <v>1530</v>
      </c>
      <c r="E136" s="307">
        <v>3033</v>
      </c>
      <c r="F136" s="185">
        <v>3017</v>
      </c>
      <c r="G136" s="238">
        <f t="shared" si="3"/>
        <v>197.18954248366015</v>
      </c>
      <c r="H136" s="187">
        <f t="shared" si="4"/>
        <v>99.472469502143085</v>
      </c>
      <c r="I136" s="283"/>
    </row>
    <row r="137" spans="1:9" x14ac:dyDescent="0.2">
      <c r="A137" s="262">
        <v>7200</v>
      </c>
      <c r="B137" s="179">
        <v>4374</v>
      </c>
      <c r="C137" s="105" t="s">
        <v>231</v>
      </c>
      <c r="D137" s="322">
        <v>520</v>
      </c>
      <c r="E137" s="307">
        <v>520</v>
      </c>
      <c r="F137" s="185">
        <v>500</v>
      </c>
      <c r="G137" s="238">
        <f t="shared" ref="G137" si="7">IF(D137&lt;=0,0,$F137/D137*100)</f>
        <v>96.15384615384616</v>
      </c>
      <c r="H137" s="187">
        <f t="shared" ref="H137" si="8">IF(E137&lt;=0,0,$F137/E137*100)</f>
        <v>96.15384615384616</v>
      </c>
      <c r="I137" s="283"/>
    </row>
    <row r="138" spans="1:9" x14ac:dyDescent="0.2">
      <c r="A138" s="262">
        <v>7200</v>
      </c>
      <c r="B138" s="179">
        <v>5319</v>
      </c>
      <c r="C138" s="115" t="s">
        <v>185</v>
      </c>
      <c r="D138" s="322"/>
      <c r="E138" s="307">
        <v>135</v>
      </c>
      <c r="F138" s="185">
        <v>135</v>
      </c>
      <c r="G138" s="238">
        <f t="shared" si="3"/>
        <v>0</v>
      </c>
      <c r="H138" s="187">
        <f t="shared" si="4"/>
        <v>100</v>
      </c>
      <c r="I138" s="283"/>
    </row>
    <row r="139" spans="1:9" x14ac:dyDescent="0.2">
      <c r="A139" s="264" t="s">
        <v>33</v>
      </c>
      <c r="B139" s="265"/>
      <c r="C139" s="266"/>
      <c r="D139" s="321">
        <f>SUBTOTAL(9,D132:D138)</f>
        <v>4950</v>
      </c>
      <c r="E139" s="309">
        <f>SUBTOTAL(9,E132:E138)</f>
        <v>10889</v>
      </c>
      <c r="F139" s="180">
        <f>SUBTOTAL(9,F132:F138)</f>
        <v>10629</v>
      </c>
      <c r="G139" s="236">
        <f t="shared" si="3"/>
        <v>214.72727272727275</v>
      </c>
      <c r="H139" s="182">
        <f t="shared" si="4"/>
        <v>97.612269262558556</v>
      </c>
      <c r="I139" s="283"/>
    </row>
    <row r="140" spans="1:9" x14ac:dyDescent="0.2">
      <c r="A140" s="264"/>
      <c r="B140" s="265"/>
      <c r="C140" s="266"/>
      <c r="D140" s="321"/>
      <c r="E140" s="309"/>
      <c r="F140" s="180"/>
      <c r="G140" s="236">
        <f t="shared" si="3"/>
        <v>0</v>
      </c>
      <c r="H140" s="182">
        <f t="shared" si="4"/>
        <v>0</v>
      </c>
      <c r="I140" s="283"/>
    </row>
    <row r="141" spans="1:9" x14ac:dyDescent="0.2">
      <c r="A141" s="336" t="s">
        <v>28</v>
      </c>
      <c r="B141" s="337"/>
      <c r="C141" s="338"/>
      <c r="D141" s="321"/>
      <c r="E141" s="309"/>
      <c r="F141" s="180"/>
      <c r="G141" s="238">
        <f t="shared" si="3"/>
        <v>0</v>
      </c>
      <c r="H141" s="214">
        <f t="shared" si="4"/>
        <v>0</v>
      </c>
      <c r="I141" s="283"/>
    </row>
    <row r="142" spans="1:9" x14ac:dyDescent="0.2">
      <c r="A142" s="277">
        <v>7300</v>
      </c>
      <c r="B142" s="261">
        <v>3311</v>
      </c>
      <c r="C142" s="221" t="s">
        <v>23</v>
      </c>
      <c r="D142" s="323">
        <v>34570</v>
      </c>
      <c r="E142" s="323">
        <v>68916</v>
      </c>
      <c r="F142" s="274">
        <v>67328</v>
      </c>
      <c r="G142" s="268">
        <f t="shared" ref="G142:G151" si="9">IF(D142&lt;=0,0,$F142/D142*100)</f>
        <v>194.75846109343362</v>
      </c>
      <c r="H142" s="187">
        <f t="shared" ref="H142:H151" si="10">IF(E142&lt;=0,0,$F142/E142*100)</f>
        <v>97.69574554530152</v>
      </c>
      <c r="I142" s="283"/>
    </row>
    <row r="143" spans="1:9" x14ac:dyDescent="0.2">
      <c r="A143" s="277">
        <v>7300</v>
      </c>
      <c r="B143" s="261">
        <v>3312</v>
      </c>
      <c r="C143" s="221" t="s">
        <v>85</v>
      </c>
      <c r="D143" s="323">
        <v>2000</v>
      </c>
      <c r="E143" s="323">
        <v>2000</v>
      </c>
      <c r="F143" s="274">
        <v>2000</v>
      </c>
      <c r="G143" s="268">
        <f t="shared" si="9"/>
        <v>100</v>
      </c>
      <c r="H143" s="187">
        <f t="shared" si="10"/>
        <v>100</v>
      </c>
      <c r="I143" s="283"/>
    </row>
    <row r="144" spans="1:9" x14ac:dyDescent="0.2">
      <c r="A144" s="277">
        <v>7300</v>
      </c>
      <c r="B144" s="261">
        <v>3315</v>
      </c>
      <c r="C144" s="221" t="s">
        <v>87</v>
      </c>
      <c r="D144" s="323">
        <v>1600</v>
      </c>
      <c r="E144" s="323">
        <v>2596</v>
      </c>
      <c r="F144" s="274">
        <v>2575</v>
      </c>
      <c r="G144" s="268">
        <f t="shared" si="9"/>
        <v>160.9375</v>
      </c>
      <c r="H144" s="187">
        <f t="shared" si="10"/>
        <v>99.191063174114021</v>
      </c>
      <c r="I144" s="283"/>
    </row>
    <row r="145" spans="1:9" x14ac:dyDescent="0.2">
      <c r="A145" s="277">
        <v>7300</v>
      </c>
      <c r="B145" s="261">
        <v>3319</v>
      </c>
      <c r="C145" s="115" t="s">
        <v>45</v>
      </c>
      <c r="D145" s="323"/>
      <c r="E145" s="323">
        <v>4850</v>
      </c>
      <c r="F145" s="274">
        <v>4804</v>
      </c>
      <c r="G145" s="268">
        <f t="shared" si="9"/>
        <v>0</v>
      </c>
      <c r="H145" s="187">
        <f t="shared" si="10"/>
        <v>99.051546391752581</v>
      </c>
      <c r="I145" s="283"/>
    </row>
    <row r="146" spans="1:9" x14ac:dyDescent="0.2">
      <c r="A146" s="277">
        <v>7300</v>
      </c>
      <c r="B146" s="261">
        <v>3326</v>
      </c>
      <c r="C146" s="114" t="s">
        <v>160</v>
      </c>
      <c r="D146" s="323">
        <v>2830</v>
      </c>
      <c r="E146" s="323">
        <v>3080</v>
      </c>
      <c r="F146" s="274">
        <v>2727</v>
      </c>
      <c r="G146" s="238">
        <f t="shared" si="9"/>
        <v>96.360424028268554</v>
      </c>
      <c r="H146" s="187">
        <f t="shared" si="10"/>
        <v>88.538961038961034</v>
      </c>
      <c r="I146" s="283"/>
    </row>
    <row r="147" spans="1:9" x14ac:dyDescent="0.2">
      <c r="A147" s="260" t="s">
        <v>25</v>
      </c>
      <c r="B147" s="261"/>
      <c r="C147" s="114"/>
      <c r="D147" s="321">
        <f>SUBTOTAL(9,D142:D146)</f>
        <v>41000</v>
      </c>
      <c r="E147" s="309">
        <f>SUBTOTAL(9,E142:E146)</f>
        <v>81442</v>
      </c>
      <c r="F147" s="180">
        <f>SUBTOTAL(9,F142:F146)</f>
        <v>79434</v>
      </c>
      <c r="G147" s="257">
        <f t="shared" si="9"/>
        <v>193.74146341463415</v>
      </c>
      <c r="H147" s="279">
        <f t="shared" si="10"/>
        <v>97.534441688563646</v>
      </c>
      <c r="I147" s="283"/>
    </row>
    <row r="148" spans="1:9" x14ac:dyDescent="0.2">
      <c r="A148" s="260"/>
      <c r="B148" s="261"/>
      <c r="C148" s="114"/>
      <c r="D148" s="321"/>
      <c r="E148" s="309"/>
      <c r="F148" s="180"/>
      <c r="G148" s="268">
        <f t="shared" si="9"/>
        <v>0</v>
      </c>
      <c r="H148" s="214">
        <f t="shared" si="10"/>
        <v>0</v>
      </c>
      <c r="I148" s="283"/>
    </row>
    <row r="149" spans="1:9" x14ac:dyDescent="0.2">
      <c r="A149" s="260" t="s">
        <v>29</v>
      </c>
      <c r="B149" s="261"/>
      <c r="C149" s="114"/>
      <c r="D149" s="321"/>
      <c r="E149" s="309"/>
      <c r="F149" s="180"/>
      <c r="G149" s="236">
        <f t="shared" si="9"/>
        <v>0</v>
      </c>
      <c r="H149" s="182">
        <f t="shared" si="10"/>
        <v>0</v>
      </c>
      <c r="I149" s="283"/>
    </row>
    <row r="150" spans="1:9" x14ac:dyDescent="0.2">
      <c r="A150" s="262">
        <v>8200</v>
      </c>
      <c r="B150" s="261">
        <v>5311</v>
      </c>
      <c r="C150" s="114" t="s">
        <v>31</v>
      </c>
      <c r="D150" s="322">
        <v>7236</v>
      </c>
      <c r="E150" s="307">
        <v>18074</v>
      </c>
      <c r="F150" s="185">
        <v>17867</v>
      </c>
      <c r="G150" s="238">
        <f t="shared" si="9"/>
        <v>246.91818684355997</v>
      </c>
      <c r="H150" s="187">
        <f t="shared" si="10"/>
        <v>98.854708420936149</v>
      </c>
      <c r="I150" s="283"/>
    </row>
    <row r="151" spans="1:9" x14ac:dyDescent="0.2">
      <c r="A151" s="264" t="s">
        <v>27</v>
      </c>
      <c r="B151" s="265"/>
      <c r="C151" s="266"/>
      <c r="D151" s="321">
        <f>SUBTOTAL(9,D150:D150)</f>
        <v>7236</v>
      </c>
      <c r="E151" s="315">
        <f>SUBTOTAL(9,E150)</f>
        <v>18074</v>
      </c>
      <c r="F151" s="208">
        <f>SUBTOTAL(9,F150:F150)</f>
        <v>17867</v>
      </c>
      <c r="G151" s="280">
        <f t="shared" si="9"/>
        <v>246.91818684355997</v>
      </c>
      <c r="H151" s="210">
        <f t="shared" si="10"/>
        <v>98.854708420936149</v>
      </c>
      <c r="I151" s="283"/>
    </row>
    <row r="152" spans="1:9" ht="10.5" customHeight="1" thickBot="1" x14ac:dyDescent="0.25">
      <c r="A152" s="240"/>
      <c r="B152" s="241"/>
      <c r="C152" s="242"/>
      <c r="D152" s="317"/>
      <c r="E152" s="317"/>
      <c r="F152" s="243"/>
      <c r="G152" s="281">
        <f t="shared" ref="G152:G153" si="11">IF(D152&lt;=0,0,$F152/D152*100)</f>
        <v>0</v>
      </c>
      <c r="H152" s="246">
        <f t="shared" ref="H152:H153" si="12">IF(E152&lt;=0,0,$F152/E152*100)</f>
        <v>0</v>
      </c>
      <c r="I152" s="283"/>
    </row>
    <row r="153" spans="1:9" ht="18" thickBot="1" x14ac:dyDescent="0.35">
      <c r="A153" s="282" t="s">
        <v>51</v>
      </c>
      <c r="B153" s="248"/>
      <c r="C153" s="249"/>
      <c r="D153" s="250">
        <f>SUBTOTAL(9,D2:D152)</f>
        <v>2476188</v>
      </c>
      <c r="E153" s="325">
        <f>SUBTOTAL(9,E2:E151)</f>
        <v>1987201</v>
      </c>
      <c r="F153" s="250">
        <f>SUBTOTAL(9,F2:F152)</f>
        <v>1717171</v>
      </c>
      <c r="G153" s="251">
        <f t="shared" si="11"/>
        <v>69.347359731975118</v>
      </c>
      <c r="H153" s="252">
        <f t="shared" si="12"/>
        <v>86.411540654417948</v>
      </c>
      <c r="I153" s="283"/>
    </row>
    <row r="154" spans="1:9" x14ac:dyDescent="0.2">
      <c r="A154" s="284"/>
    </row>
    <row r="155" spans="1:9" x14ac:dyDescent="0.2">
      <c r="A155" s="284"/>
    </row>
    <row r="156" spans="1:9" x14ac:dyDescent="0.2">
      <c r="A156" s="284"/>
    </row>
    <row r="157" spans="1:9" x14ac:dyDescent="0.2">
      <c r="A157" s="284"/>
    </row>
    <row r="158" spans="1:9" x14ac:dyDescent="0.2">
      <c r="A158" s="284"/>
    </row>
    <row r="159" spans="1:9" x14ac:dyDescent="0.2">
      <c r="A159" s="284"/>
    </row>
    <row r="160" spans="1:9" x14ac:dyDescent="0.2">
      <c r="A160" s="284"/>
    </row>
    <row r="161" spans="1:1" x14ac:dyDescent="0.2">
      <c r="A161" s="284"/>
    </row>
    <row r="162" spans="1:1" x14ac:dyDescent="0.2">
      <c r="A162" s="284"/>
    </row>
    <row r="163" spans="1:1" x14ac:dyDescent="0.2">
      <c r="A163" s="284"/>
    </row>
    <row r="164" spans="1:1" x14ac:dyDescent="0.2">
      <c r="A164" s="284"/>
    </row>
    <row r="165" spans="1:1" x14ac:dyDescent="0.2">
      <c r="A165" s="284"/>
    </row>
    <row r="166" spans="1:1" x14ac:dyDescent="0.2">
      <c r="A166" s="284"/>
    </row>
    <row r="167" spans="1:1" x14ac:dyDescent="0.2">
      <c r="A167" s="284"/>
    </row>
    <row r="168" spans="1:1" x14ac:dyDescent="0.2">
      <c r="A168" s="284"/>
    </row>
    <row r="169" spans="1:1" x14ac:dyDescent="0.2">
      <c r="A169" s="284"/>
    </row>
    <row r="170" spans="1:1" x14ac:dyDescent="0.2">
      <c r="A170" s="284"/>
    </row>
    <row r="171" spans="1:1" x14ac:dyDescent="0.2">
      <c r="A171" s="284"/>
    </row>
    <row r="172" spans="1:1" x14ac:dyDescent="0.2">
      <c r="A172" s="284"/>
    </row>
    <row r="173" spans="1:1" x14ac:dyDescent="0.2">
      <c r="A173" s="284"/>
    </row>
    <row r="174" spans="1:1" x14ac:dyDescent="0.2">
      <c r="A174" s="284"/>
    </row>
    <row r="175" spans="1:1" x14ac:dyDescent="0.2">
      <c r="A175" s="284"/>
    </row>
    <row r="176" spans="1:1" x14ac:dyDescent="0.2">
      <c r="A176" s="284"/>
    </row>
    <row r="177" spans="1:1" x14ac:dyDescent="0.2">
      <c r="A177" s="284"/>
    </row>
    <row r="178" spans="1:1" x14ac:dyDescent="0.2">
      <c r="A178" s="284"/>
    </row>
    <row r="179" spans="1:1" x14ac:dyDescent="0.2">
      <c r="A179" s="284"/>
    </row>
    <row r="180" spans="1:1" x14ac:dyDescent="0.2">
      <c r="A180" s="284"/>
    </row>
    <row r="181" spans="1:1" x14ac:dyDescent="0.2">
      <c r="A181" s="284"/>
    </row>
    <row r="182" spans="1:1" x14ac:dyDescent="0.2">
      <c r="A182" s="284"/>
    </row>
  </sheetData>
  <mergeCells count="1">
    <mergeCell ref="A141:C141"/>
  </mergeCells>
  <phoneticPr fontId="0" type="noConversion"/>
  <printOptions horizontalCentered="1"/>
  <pageMargins left="0.70866141732283472" right="0.55118110236220474" top="1.0236220472440944" bottom="0.70866141732283472" header="0.55118110236220474" footer="0.31496062992125984"/>
  <pageSetup paperSize="9" scale="76" fitToHeight="2" orientation="portrait" r:id="rId1"/>
  <headerFooter scaleWithDoc="0">
    <oddHeader>&amp;C&amp;"Calibri Light,Tučné"&amp;14Čerpání rozpočtu kapitálových výdajů města k 31.12.2016 (v tis. Kč)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tabColor rgb="FFFFC000"/>
  </sheetPr>
  <dimension ref="A1:AF545"/>
  <sheetViews>
    <sheetView showZeros="0" zoomScaleNormal="100" zoomScaleSheetLayoutView="100" workbookViewId="0">
      <selection activeCell="A3" sqref="A3"/>
    </sheetView>
  </sheetViews>
  <sheetFormatPr defaultRowHeight="12.75" outlineLevelRow="2" x14ac:dyDescent="0.2"/>
  <cols>
    <col min="1" max="1" width="4" style="375" bestFit="1" customWidth="1"/>
    <col min="2" max="2" width="6.7109375" style="376" customWidth="1"/>
    <col min="3" max="3" width="4.7109375" style="376" customWidth="1"/>
    <col min="4" max="4" width="8.85546875" style="376" customWidth="1"/>
    <col min="5" max="5" width="8.5703125" style="376" customWidth="1"/>
    <col min="6" max="6" width="7.5703125" style="376" customWidth="1"/>
    <col min="7" max="7" width="71.42578125" style="376" bestFit="1" customWidth="1"/>
    <col min="8" max="8" width="9.28515625" style="376" customWidth="1"/>
    <col min="9" max="9" width="10.5703125" style="376" customWidth="1"/>
    <col min="10" max="10" width="10.42578125" style="376" customWidth="1"/>
    <col min="11" max="11" width="9.28515625" style="376" hidden="1" customWidth="1"/>
    <col min="12" max="12" width="10.85546875" style="376" customWidth="1"/>
    <col min="13" max="14" width="8.85546875" style="376" customWidth="1"/>
    <col min="15" max="15" width="10.140625" style="376" customWidth="1"/>
    <col min="16" max="16" width="7.5703125" style="375" customWidth="1"/>
    <col min="17" max="17" width="10.5703125" style="376" hidden="1" customWidth="1"/>
    <col min="18" max="18" width="12" style="376" hidden="1" customWidth="1"/>
    <col min="19" max="19" width="13.42578125" style="376" hidden="1" customWidth="1"/>
    <col min="20" max="20" width="10.85546875" style="376" customWidth="1"/>
    <col min="21" max="21" width="3.42578125" style="376" customWidth="1"/>
    <col min="22" max="22" width="9" style="375" hidden="1" customWidth="1"/>
    <col min="23" max="23" width="10.28515625" style="375" hidden="1" customWidth="1"/>
    <col min="24" max="24" width="5.85546875" style="387" hidden="1" customWidth="1"/>
    <col min="25" max="25" width="6.7109375" style="375" hidden="1" customWidth="1"/>
    <col min="26" max="26" width="11.140625" style="375" hidden="1" customWidth="1"/>
    <col min="27" max="27" width="19.28515625" style="375" hidden="1" customWidth="1"/>
    <col min="28" max="28" width="0.42578125" style="376" customWidth="1"/>
    <col min="29" max="29" width="9.7109375" style="378" hidden="1" customWidth="1"/>
    <col min="30" max="30" width="18.42578125" style="376" hidden="1" customWidth="1"/>
    <col min="31" max="16384" width="9.140625" style="376"/>
  </cols>
  <sheetData>
    <row r="1" spans="1:32" ht="24" customHeight="1" x14ac:dyDescent="0.2">
      <c r="L1" s="376">
        <f>COLUMN()</f>
        <v>12</v>
      </c>
      <c r="T1" s="376">
        <f>COLUMN()</f>
        <v>20</v>
      </c>
      <c r="V1" s="377">
        <f>COLUMN()</f>
        <v>22</v>
      </c>
      <c r="W1" s="377">
        <f>COLUMN()</f>
        <v>23</v>
      </c>
      <c r="X1" s="377">
        <f>COLUMN()</f>
        <v>24</v>
      </c>
      <c r="Y1" s="377">
        <f>COLUMN()</f>
        <v>25</v>
      </c>
      <c r="Z1" s="377">
        <f>COLUMN()</f>
        <v>26</v>
      </c>
      <c r="AA1" s="377">
        <f>COLUMN()</f>
        <v>27</v>
      </c>
    </row>
    <row r="2" spans="1:32" ht="38.25" x14ac:dyDescent="0.2">
      <c r="A2" s="379" t="s">
        <v>400</v>
      </c>
      <c r="B2" s="380" t="s">
        <v>215</v>
      </c>
      <c r="C2" s="381" t="s">
        <v>0</v>
      </c>
      <c r="D2" s="381" t="s">
        <v>401</v>
      </c>
      <c r="E2" s="381" t="s">
        <v>402</v>
      </c>
      <c r="F2" s="381" t="s">
        <v>403</v>
      </c>
      <c r="G2" s="381" t="s">
        <v>404</v>
      </c>
      <c r="H2" s="382" t="s">
        <v>405</v>
      </c>
      <c r="I2" s="382" t="s">
        <v>406</v>
      </c>
      <c r="J2" s="382" t="s">
        <v>407</v>
      </c>
      <c r="K2" s="382" t="s">
        <v>408</v>
      </c>
      <c r="L2" s="382" t="s">
        <v>409</v>
      </c>
      <c r="M2" s="382" t="s">
        <v>275</v>
      </c>
      <c r="N2" s="382" t="s">
        <v>304</v>
      </c>
      <c r="O2" s="382" t="s">
        <v>295</v>
      </c>
      <c r="P2" s="383" t="s">
        <v>410</v>
      </c>
      <c r="Q2" s="382" t="s">
        <v>411</v>
      </c>
      <c r="R2" s="382" t="s">
        <v>412</v>
      </c>
      <c r="S2" s="381" t="s">
        <v>413</v>
      </c>
      <c r="T2" s="381" t="s">
        <v>414</v>
      </c>
      <c r="U2" s="384"/>
      <c r="V2" s="385" t="s">
        <v>415</v>
      </c>
      <c r="W2" s="386" t="s">
        <v>416</v>
      </c>
      <c r="Y2" s="386" t="s">
        <v>417</v>
      </c>
      <c r="Z2" s="385" t="s">
        <v>418</v>
      </c>
      <c r="AA2" s="385" t="s">
        <v>419</v>
      </c>
      <c r="AB2" s="388"/>
      <c r="AC2" s="389"/>
      <c r="AD2" s="390"/>
      <c r="AE2" s="388"/>
      <c r="AF2" s="388"/>
    </row>
    <row r="3" spans="1:32" outlineLevel="2" x14ac:dyDescent="0.2">
      <c r="A3" s="391">
        <f>ROW()-2</f>
        <v>1</v>
      </c>
      <c r="B3" s="392" t="s">
        <v>420</v>
      </c>
      <c r="C3" s="393" t="s">
        <v>421</v>
      </c>
      <c r="D3" s="394">
        <v>2803</v>
      </c>
      <c r="E3" s="393">
        <v>6121</v>
      </c>
      <c r="F3" s="395"/>
      <c r="G3" s="394" t="s">
        <v>422</v>
      </c>
      <c r="H3" s="394">
        <v>2014</v>
      </c>
      <c r="I3" s="394">
        <v>2017</v>
      </c>
      <c r="J3" s="396">
        <f>8170+5830</f>
        <v>14000</v>
      </c>
      <c r="K3" s="396"/>
      <c r="L3" s="397">
        <v>0</v>
      </c>
      <c r="M3" s="398">
        <v>8165</v>
      </c>
      <c r="N3" s="398">
        <v>20</v>
      </c>
      <c r="O3" s="396">
        <v>4</v>
      </c>
      <c r="P3" s="399">
        <f>IF(N3&lt;=0," ",O3/N3)</f>
        <v>0.2</v>
      </c>
      <c r="Q3" s="398">
        <v>13980</v>
      </c>
      <c r="R3" s="400"/>
      <c r="S3" s="401"/>
      <c r="T3" s="402" t="s">
        <v>423</v>
      </c>
      <c r="U3" s="403"/>
      <c r="V3" s="404">
        <f>IF(LEN($D3)=4,(J3-L3-N3-Q3-R3-S3),0)</f>
        <v>0</v>
      </c>
      <c r="W3" s="405" t="str">
        <f>IF(AND(P3&lt;[3]koment!$F$1,N3&gt;=[3]koment!$F$2),"Komentovat","")</f>
        <v/>
      </c>
      <c r="X3" s="406">
        <f>IF(W3="Komentovat",X2+1,X2)</f>
        <v>0</v>
      </c>
      <c r="Y3" s="404" t="str">
        <f>IF($V3=0," ",IF(LEN($B3)=4,$B3*1,$B3))</f>
        <v xml:space="preserve"> </v>
      </c>
      <c r="Z3" s="407">
        <f>IF($Y3=" ",0,"ORG "&amp;$D3&amp;" - "&amp;$G3)</f>
        <v>0</v>
      </c>
      <c r="AA3" s="408" t="str">
        <f>$B3&amp;LEFT($C3,4)&amp;$D3&amp;$E3&amp;$F3</f>
        <v>5600214328036121</v>
      </c>
      <c r="AB3" s="388"/>
      <c r="AC3" s="409">
        <f>IF(LEN(D3)=4,(J3-L3-N3-Q3-R3-S3),0)</f>
        <v>0</v>
      </c>
      <c r="AD3" s="388"/>
      <c r="AE3" s="388"/>
      <c r="AF3" s="388"/>
    </row>
    <row r="4" spans="1:32" outlineLevel="1" x14ac:dyDescent="0.2">
      <c r="A4" s="391">
        <f t="shared" ref="A4:A67" si="0">ROW()-2</f>
        <v>2</v>
      </c>
      <c r="B4" s="392"/>
      <c r="C4" s="410" t="s">
        <v>424</v>
      </c>
      <c r="D4" s="394"/>
      <c r="E4" s="393"/>
      <c r="F4" s="395"/>
      <c r="G4" s="394"/>
      <c r="H4" s="394"/>
      <c r="I4" s="394"/>
      <c r="J4" s="396">
        <f t="shared" ref="J4:O4" si="1">SUBTOTAL(9,J3:J3)</f>
        <v>14000</v>
      </c>
      <c r="K4" s="396">
        <f t="shared" si="1"/>
        <v>0</v>
      </c>
      <c r="L4" s="397">
        <f t="shared" si="1"/>
        <v>0</v>
      </c>
      <c r="M4" s="398">
        <f t="shared" si="1"/>
        <v>8165</v>
      </c>
      <c r="N4" s="398">
        <f t="shared" si="1"/>
        <v>20</v>
      </c>
      <c r="O4" s="396">
        <f t="shared" si="1"/>
        <v>4</v>
      </c>
      <c r="P4" s="399">
        <f t="shared" ref="P4:P67" si="2">IF(N4&lt;=0," ",O4/N4)</f>
        <v>0.2</v>
      </c>
      <c r="Q4" s="398">
        <f>SUBTOTAL(9,Q3:Q3)</f>
        <v>13980</v>
      </c>
      <c r="R4" s="400">
        <f>SUBTOTAL(9,R3:R3)</f>
        <v>0</v>
      </c>
      <c r="S4" s="401">
        <f>SUBTOTAL(9,S3:S3)</f>
        <v>0</v>
      </c>
      <c r="T4" s="402"/>
      <c r="U4" s="403"/>
      <c r="V4" s="404"/>
      <c r="W4" s="405"/>
      <c r="X4" s="406"/>
      <c r="Y4" s="404" t="str">
        <f>IF($V4=0," ",IF(LEN($B4)=4,$B4*1,$B4))</f>
        <v xml:space="preserve"> </v>
      </c>
      <c r="Z4" s="407">
        <f>IF($Y4=" ",0,"ORG "&amp;$D4&amp;" - "&amp;$G4)</f>
        <v>0</v>
      </c>
      <c r="AA4" s="408" t="str">
        <f>$B4&amp;LEFT($C4,4)&amp;$D4&amp;$E4&amp;$F4</f>
        <v>Celk</v>
      </c>
      <c r="AB4" s="388"/>
      <c r="AC4" s="409"/>
      <c r="AD4" s="388"/>
      <c r="AE4" s="388"/>
      <c r="AF4" s="388"/>
    </row>
    <row r="5" spans="1:32" outlineLevel="2" x14ac:dyDescent="0.2">
      <c r="A5" s="391">
        <f t="shared" si="0"/>
        <v>3</v>
      </c>
      <c r="B5" s="392">
        <v>5600</v>
      </c>
      <c r="C5" s="393" t="s">
        <v>425</v>
      </c>
      <c r="D5" s="394">
        <v>2653</v>
      </c>
      <c r="E5" s="393">
        <v>6121</v>
      </c>
      <c r="F5" s="395"/>
      <c r="G5" s="411" t="s">
        <v>426</v>
      </c>
      <c r="H5" s="394">
        <v>2008</v>
      </c>
      <c r="I5" s="394">
        <v>2019</v>
      </c>
      <c r="J5" s="396">
        <v>11080</v>
      </c>
      <c r="K5" s="396"/>
      <c r="L5" s="397">
        <v>669</v>
      </c>
      <c r="M5" s="398"/>
      <c r="N5" s="398">
        <v>131</v>
      </c>
      <c r="O5" s="396"/>
      <c r="P5" s="399">
        <f t="shared" si="2"/>
        <v>0</v>
      </c>
      <c r="Q5" s="398">
        <v>4000</v>
      </c>
      <c r="R5" s="400">
        <v>6280</v>
      </c>
      <c r="S5" s="401"/>
      <c r="T5" s="402" t="s">
        <v>423</v>
      </c>
      <c r="U5" s="403"/>
      <c r="V5" s="404">
        <f t="shared" ref="V5:V69" si="3">IF(LEN($D5)=4,(J5-L5-N5-Q5-R5-S5),0)</f>
        <v>0</v>
      </c>
      <c r="W5" s="405" t="str">
        <f>IF(AND(P5&lt;[3]koment!$F$1,N5&gt;=[3]koment!$F$2),"Komentovat","")</f>
        <v/>
      </c>
      <c r="X5" s="406">
        <f>IF(W5="Komentovat",X3+1,X3)</f>
        <v>0</v>
      </c>
      <c r="Y5" s="404" t="str">
        <f t="shared" ref="Y5:Y69" si="4">IF($V5=0," ",IF(LEN($B5)=4,$B5*1,$B5))</f>
        <v xml:space="preserve"> </v>
      </c>
      <c r="Z5" s="407">
        <f t="shared" ref="Z5:Z69" si="5">IF($Y5=" ",0,"ORG "&amp;$D5&amp;" - "&amp;$G5)</f>
        <v>0</v>
      </c>
      <c r="AA5" s="408" t="str">
        <f t="shared" ref="AA5:AA69" si="6">$B5&amp;LEFT($C5,4)&amp;$D5&amp;$E5&amp;$F5</f>
        <v>5600221226536121</v>
      </c>
      <c r="AB5" s="388"/>
      <c r="AC5" s="409">
        <f t="shared" ref="AC5:AC129" si="7">IF(LEN(D5)=4,(J5-L5-N5-Q5-R5-S5),0)</f>
        <v>0</v>
      </c>
      <c r="AD5" s="388"/>
      <c r="AE5" s="388"/>
      <c r="AF5" s="388"/>
    </row>
    <row r="6" spans="1:32" outlineLevel="2" x14ac:dyDescent="0.2">
      <c r="A6" s="391">
        <f t="shared" si="0"/>
        <v>4</v>
      </c>
      <c r="B6" s="392">
        <v>5600</v>
      </c>
      <c r="C6" s="393" t="s">
        <v>425</v>
      </c>
      <c r="D6" s="394">
        <v>2654</v>
      </c>
      <c r="E6" s="393">
        <v>6121</v>
      </c>
      <c r="F6" s="395"/>
      <c r="G6" s="411" t="s">
        <v>427</v>
      </c>
      <c r="H6" s="394">
        <v>2015</v>
      </c>
      <c r="I6" s="394">
        <v>2017</v>
      </c>
      <c r="J6" s="396">
        <v>6700</v>
      </c>
      <c r="K6" s="396"/>
      <c r="L6" s="397">
        <v>232</v>
      </c>
      <c r="M6" s="398"/>
      <c r="N6" s="398">
        <v>1000</v>
      </c>
      <c r="O6" s="396">
        <v>506</v>
      </c>
      <c r="P6" s="399">
        <f t="shared" si="2"/>
        <v>0.50600000000000001</v>
      </c>
      <c r="Q6" s="398">
        <v>4288</v>
      </c>
      <c r="R6" s="400"/>
      <c r="S6" s="401"/>
      <c r="T6" s="402" t="s">
        <v>423</v>
      </c>
      <c r="U6" s="403"/>
      <c r="V6" s="404">
        <f t="shared" si="3"/>
        <v>1180</v>
      </c>
      <c r="W6" s="405" t="str">
        <f>IF(AND(P6&lt;[3]koment!$F$1,N6&gt;=[3]koment!$F$2),"Komentovat","")</f>
        <v>Komentovat</v>
      </c>
      <c r="X6" s="406">
        <f t="shared" ref="X6:X69" si="8">IF(W6="Komentovat",X5+1,X5)</f>
        <v>1</v>
      </c>
      <c r="Y6" s="404">
        <f t="shared" si="4"/>
        <v>5600</v>
      </c>
      <c r="Z6" s="407" t="str">
        <f t="shared" si="5"/>
        <v>ORG 2654 - Zastávkový záliv MHD u židenických kasáren</v>
      </c>
      <c r="AA6" s="408" t="str">
        <f t="shared" si="6"/>
        <v>5600221226546121</v>
      </c>
      <c r="AB6" s="388"/>
      <c r="AC6" s="409">
        <f>IF(LEN(D6)=4,(J6-L6-N6-Q6-R6-S6),0)</f>
        <v>1180</v>
      </c>
      <c r="AD6" s="388"/>
      <c r="AE6" s="388"/>
      <c r="AF6" s="388"/>
    </row>
    <row r="7" spans="1:32" outlineLevel="2" x14ac:dyDescent="0.2">
      <c r="A7" s="391">
        <f t="shared" si="0"/>
        <v>5</v>
      </c>
      <c r="B7" s="392" t="s">
        <v>420</v>
      </c>
      <c r="C7" s="393" t="s">
        <v>425</v>
      </c>
      <c r="D7" s="394">
        <v>2668</v>
      </c>
      <c r="E7" s="393">
        <v>6121</v>
      </c>
      <c r="F7" s="395"/>
      <c r="G7" s="394" t="s">
        <v>428</v>
      </c>
      <c r="H7" s="394">
        <v>2016</v>
      </c>
      <c r="I7" s="394">
        <v>2017</v>
      </c>
      <c r="J7" s="396">
        <v>14900</v>
      </c>
      <c r="K7" s="396"/>
      <c r="L7" s="397"/>
      <c r="M7" s="398"/>
      <c r="N7" s="398">
        <v>10000</v>
      </c>
      <c r="O7" s="396">
        <v>9999</v>
      </c>
      <c r="P7" s="399">
        <f t="shared" si="2"/>
        <v>0.99990000000000001</v>
      </c>
      <c r="Q7" s="398">
        <v>0</v>
      </c>
      <c r="R7" s="400"/>
      <c r="S7" s="401"/>
      <c r="T7" s="402" t="s">
        <v>423</v>
      </c>
      <c r="U7" s="403"/>
      <c r="V7" s="404">
        <f t="shared" si="3"/>
        <v>4900</v>
      </c>
      <c r="W7" s="405" t="str">
        <f>IF(AND(P7&lt;[3]koment!$F$1,N7&gt;=[3]koment!$F$2),"Komentovat","")</f>
        <v/>
      </c>
      <c r="X7" s="406">
        <f t="shared" si="8"/>
        <v>1</v>
      </c>
      <c r="Y7" s="404">
        <f t="shared" si="4"/>
        <v>5600</v>
      </c>
      <c r="Z7" s="407" t="str">
        <f t="shared" si="5"/>
        <v>ORG 2668 - Parkovací dům Panenská - komunikace</v>
      </c>
      <c r="AA7" s="408" t="str">
        <f t="shared" si="6"/>
        <v>5600221226686121</v>
      </c>
      <c r="AB7" s="388"/>
      <c r="AC7" s="409">
        <f t="shared" si="7"/>
        <v>4900</v>
      </c>
      <c r="AD7" s="388"/>
      <c r="AE7" s="388"/>
      <c r="AF7" s="388"/>
    </row>
    <row r="8" spans="1:32" outlineLevel="2" x14ac:dyDescent="0.2">
      <c r="A8" s="391">
        <f t="shared" si="0"/>
        <v>6</v>
      </c>
      <c r="B8" s="392" t="s">
        <v>420</v>
      </c>
      <c r="C8" s="393" t="s">
        <v>425</v>
      </c>
      <c r="D8" s="394">
        <v>2671</v>
      </c>
      <c r="E8" s="393">
        <v>6121</v>
      </c>
      <c r="F8" s="395"/>
      <c r="G8" s="394" t="s">
        <v>429</v>
      </c>
      <c r="H8" s="394">
        <v>2016</v>
      </c>
      <c r="I8" s="394">
        <v>2017</v>
      </c>
      <c r="J8" s="396">
        <v>4400</v>
      </c>
      <c r="K8" s="396"/>
      <c r="L8" s="397"/>
      <c r="M8" s="398"/>
      <c r="N8" s="398">
        <v>110</v>
      </c>
      <c r="O8" s="396"/>
      <c r="P8" s="399">
        <f t="shared" si="2"/>
        <v>0</v>
      </c>
      <c r="Q8" s="398">
        <v>4290</v>
      </c>
      <c r="R8" s="400"/>
      <c r="S8" s="401"/>
      <c r="T8" s="402" t="s">
        <v>423</v>
      </c>
      <c r="U8" s="403"/>
      <c r="V8" s="404">
        <f t="shared" si="3"/>
        <v>0</v>
      </c>
      <c r="W8" s="405" t="str">
        <f>IF(AND(P8&lt;[3]koment!$F$1,N8&gt;=[3]koment!$F$2),"Komentovat","")</f>
        <v/>
      </c>
      <c r="X8" s="406">
        <f t="shared" si="8"/>
        <v>1</v>
      </c>
      <c r="Y8" s="404" t="str">
        <f t="shared" si="4"/>
        <v xml:space="preserve"> </v>
      </c>
      <c r="Z8" s="407">
        <f t="shared" si="5"/>
        <v>0</v>
      </c>
      <c r="AA8" s="408" t="str">
        <f t="shared" si="6"/>
        <v>5600221226716121</v>
      </c>
      <c r="AB8" s="388"/>
      <c r="AC8" s="409">
        <f t="shared" si="7"/>
        <v>0</v>
      </c>
      <c r="AD8" s="388"/>
      <c r="AE8" s="388"/>
      <c r="AF8" s="388"/>
    </row>
    <row r="9" spans="1:32" outlineLevel="2" x14ac:dyDescent="0.2">
      <c r="A9" s="391">
        <f t="shared" si="0"/>
        <v>7</v>
      </c>
      <c r="B9" s="392" t="s">
        <v>420</v>
      </c>
      <c r="C9" s="393" t="s">
        <v>425</v>
      </c>
      <c r="D9" s="394">
        <v>2673</v>
      </c>
      <c r="E9" s="393">
        <v>6121</v>
      </c>
      <c r="F9" s="395"/>
      <c r="G9" s="412" t="s">
        <v>430</v>
      </c>
      <c r="H9" s="394">
        <v>2016</v>
      </c>
      <c r="I9" s="394">
        <v>2017</v>
      </c>
      <c r="J9" s="396">
        <v>56800</v>
      </c>
      <c r="K9" s="396"/>
      <c r="L9" s="397"/>
      <c r="M9" s="398"/>
      <c r="N9" s="398">
        <v>500</v>
      </c>
      <c r="O9" s="396"/>
      <c r="P9" s="399">
        <f t="shared" si="2"/>
        <v>0</v>
      </c>
      <c r="Q9" s="398">
        <v>56300</v>
      </c>
      <c r="R9" s="400"/>
      <c r="S9" s="401"/>
      <c r="T9" s="402" t="s">
        <v>423</v>
      </c>
      <c r="U9" s="403"/>
      <c r="V9" s="404">
        <f t="shared" si="3"/>
        <v>0</v>
      </c>
      <c r="W9" s="405" t="str">
        <f>IF(AND(P9&lt;[3]koment!$F$1,N9&gt;=[3]koment!$F$2),"Komentovat","")</f>
        <v/>
      </c>
      <c r="X9" s="406">
        <f t="shared" si="8"/>
        <v>1</v>
      </c>
      <c r="Y9" s="404" t="str">
        <f t="shared" si="4"/>
        <v xml:space="preserve"> </v>
      </c>
      <c r="Z9" s="407">
        <f t="shared" si="5"/>
        <v>0</v>
      </c>
      <c r="AA9" s="408" t="str">
        <f t="shared" si="6"/>
        <v>5600221226736121</v>
      </c>
      <c r="AB9" s="388"/>
      <c r="AC9" s="409">
        <f t="shared" si="7"/>
        <v>0</v>
      </c>
      <c r="AD9" s="388"/>
      <c r="AE9" s="388"/>
      <c r="AF9" s="388"/>
    </row>
    <row r="10" spans="1:32" outlineLevel="2" x14ac:dyDescent="0.2">
      <c r="A10" s="391">
        <f t="shared" si="0"/>
        <v>8</v>
      </c>
      <c r="B10" s="392" t="s">
        <v>420</v>
      </c>
      <c r="C10" s="393" t="s">
        <v>425</v>
      </c>
      <c r="D10" s="394">
        <v>2674</v>
      </c>
      <c r="E10" s="393">
        <v>6121</v>
      </c>
      <c r="F10" s="395"/>
      <c r="G10" s="412" t="s">
        <v>431</v>
      </c>
      <c r="H10" s="394">
        <v>2016</v>
      </c>
      <c r="I10" s="394">
        <v>2017</v>
      </c>
      <c r="J10" s="396">
        <v>2700</v>
      </c>
      <c r="K10" s="396"/>
      <c r="L10" s="397"/>
      <c r="M10" s="398"/>
      <c r="N10" s="398">
        <v>69</v>
      </c>
      <c r="O10" s="396"/>
      <c r="P10" s="399">
        <f t="shared" si="2"/>
        <v>0</v>
      </c>
      <c r="Q10" s="398">
        <v>2631</v>
      </c>
      <c r="R10" s="400"/>
      <c r="S10" s="401"/>
      <c r="T10" s="402" t="s">
        <v>423</v>
      </c>
      <c r="U10" s="403"/>
      <c r="V10" s="404">
        <f t="shared" si="3"/>
        <v>0</v>
      </c>
      <c r="W10" s="405" t="str">
        <f>IF(AND(P10&lt;[3]koment!$F$1,N10&gt;=[3]koment!$F$2),"Komentovat","")</f>
        <v/>
      </c>
      <c r="X10" s="406">
        <f t="shared" si="8"/>
        <v>1</v>
      </c>
      <c r="Y10" s="404" t="str">
        <f t="shared" si="4"/>
        <v xml:space="preserve"> </v>
      </c>
      <c r="Z10" s="407">
        <f t="shared" si="5"/>
        <v>0</v>
      </c>
      <c r="AA10" s="408" t="str">
        <f t="shared" si="6"/>
        <v>5600221226746121</v>
      </c>
      <c r="AB10" s="388"/>
      <c r="AC10" s="409">
        <f t="shared" si="7"/>
        <v>0</v>
      </c>
      <c r="AD10" s="388"/>
      <c r="AE10" s="388"/>
      <c r="AF10" s="388"/>
    </row>
    <row r="11" spans="1:32" outlineLevel="2" x14ac:dyDescent="0.2">
      <c r="A11" s="391">
        <f t="shared" si="0"/>
        <v>9</v>
      </c>
      <c r="B11" s="392" t="s">
        <v>420</v>
      </c>
      <c r="C11" s="393" t="s">
        <v>425</v>
      </c>
      <c r="D11" s="394">
        <v>2675</v>
      </c>
      <c r="E11" s="393">
        <v>6121</v>
      </c>
      <c r="F11" s="395"/>
      <c r="G11" s="412" t="s">
        <v>432</v>
      </c>
      <c r="H11" s="394">
        <v>2016</v>
      </c>
      <c r="I11" s="394">
        <v>2017</v>
      </c>
      <c r="J11" s="396">
        <v>1850</v>
      </c>
      <c r="K11" s="396"/>
      <c r="L11" s="397"/>
      <c r="M11" s="398"/>
      <c r="N11" s="398">
        <v>47</v>
      </c>
      <c r="O11" s="396"/>
      <c r="P11" s="399">
        <f t="shared" si="2"/>
        <v>0</v>
      </c>
      <c r="Q11" s="398">
        <v>1803</v>
      </c>
      <c r="R11" s="400"/>
      <c r="S11" s="401"/>
      <c r="T11" s="402" t="s">
        <v>423</v>
      </c>
      <c r="U11" s="403"/>
      <c r="V11" s="404">
        <f t="shared" si="3"/>
        <v>0</v>
      </c>
      <c r="W11" s="405" t="str">
        <f>IF(AND(P11&lt;[3]koment!$F$1,N11&gt;=[3]koment!$F$2),"Komentovat","")</f>
        <v/>
      </c>
      <c r="X11" s="406">
        <f t="shared" si="8"/>
        <v>1</v>
      </c>
      <c r="Y11" s="404" t="str">
        <f t="shared" si="4"/>
        <v xml:space="preserve"> </v>
      </c>
      <c r="Z11" s="407">
        <f t="shared" si="5"/>
        <v>0</v>
      </c>
      <c r="AA11" s="408" t="str">
        <f t="shared" si="6"/>
        <v>5600221226756121</v>
      </c>
      <c r="AB11" s="388"/>
      <c r="AC11" s="409">
        <f t="shared" si="7"/>
        <v>0</v>
      </c>
      <c r="AD11" s="388"/>
      <c r="AE11" s="388"/>
      <c r="AF11" s="388"/>
    </row>
    <row r="12" spans="1:32" outlineLevel="2" x14ac:dyDescent="0.2">
      <c r="A12" s="391">
        <f t="shared" si="0"/>
        <v>10</v>
      </c>
      <c r="B12" s="392" t="s">
        <v>420</v>
      </c>
      <c r="C12" s="393" t="s">
        <v>425</v>
      </c>
      <c r="D12" s="394">
        <v>2676</v>
      </c>
      <c r="E12" s="393">
        <v>6121</v>
      </c>
      <c r="F12" s="395"/>
      <c r="G12" s="412" t="s">
        <v>433</v>
      </c>
      <c r="H12" s="394">
        <v>2016</v>
      </c>
      <c r="I12" s="394">
        <v>2017</v>
      </c>
      <c r="J12" s="396">
        <v>279</v>
      </c>
      <c r="K12" s="396"/>
      <c r="L12" s="397"/>
      <c r="M12" s="398"/>
      <c r="N12" s="398">
        <v>7</v>
      </c>
      <c r="O12" s="396"/>
      <c r="P12" s="399">
        <f t="shared" si="2"/>
        <v>0</v>
      </c>
      <c r="Q12" s="398">
        <v>272</v>
      </c>
      <c r="R12" s="400"/>
      <c r="S12" s="401"/>
      <c r="T12" s="402" t="s">
        <v>423</v>
      </c>
      <c r="U12" s="403"/>
      <c r="V12" s="404">
        <f t="shared" si="3"/>
        <v>0</v>
      </c>
      <c r="W12" s="405" t="str">
        <f>IF(AND(P12&lt;[3]koment!$F$1,N12&gt;=[3]koment!$F$2),"Komentovat","")</f>
        <v/>
      </c>
      <c r="X12" s="406">
        <f t="shared" si="8"/>
        <v>1</v>
      </c>
      <c r="Y12" s="404" t="str">
        <f t="shared" si="4"/>
        <v xml:space="preserve"> </v>
      </c>
      <c r="Z12" s="407">
        <f t="shared" si="5"/>
        <v>0</v>
      </c>
      <c r="AA12" s="408" t="str">
        <f t="shared" si="6"/>
        <v>5600221226766121</v>
      </c>
      <c r="AB12" s="388"/>
      <c r="AC12" s="409">
        <f t="shared" si="7"/>
        <v>0</v>
      </c>
      <c r="AD12" s="388"/>
      <c r="AE12" s="388"/>
      <c r="AF12" s="388"/>
    </row>
    <row r="13" spans="1:32" outlineLevel="2" x14ac:dyDescent="0.2">
      <c r="A13" s="391">
        <f t="shared" si="0"/>
        <v>11</v>
      </c>
      <c r="B13" s="392" t="s">
        <v>420</v>
      </c>
      <c r="C13" s="393" t="s">
        <v>425</v>
      </c>
      <c r="D13" s="394">
        <v>2677</v>
      </c>
      <c r="E13" s="393">
        <v>6121</v>
      </c>
      <c r="F13" s="395"/>
      <c r="G13" s="412" t="s">
        <v>434</v>
      </c>
      <c r="H13" s="394">
        <v>2016</v>
      </c>
      <c r="I13" s="394">
        <v>2018</v>
      </c>
      <c r="J13" s="396">
        <v>6800</v>
      </c>
      <c r="K13" s="396"/>
      <c r="L13" s="397"/>
      <c r="M13" s="398"/>
      <c r="N13" s="398">
        <v>170</v>
      </c>
      <c r="O13" s="396"/>
      <c r="P13" s="399">
        <f t="shared" si="2"/>
        <v>0</v>
      </c>
      <c r="Q13" s="398">
        <v>200</v>
      </c>
      <c r="R13" s="400">
        <v>6430</v>
      </c>
      <c r="S13" s="401"/>
      <c r="T13" s="402" t="s">
        <v>423</v>
      </c>
      <c r="U13" s="403"/>
      <c r="V13" s="404">
        <f t="shared" si="3"/>
        <v>0</v>
      </c>
      <c r="W13" s="405" t="str">
        <f>IF(AND(P13&lt;[3]koment!$F$1,N13&gt;=[3]koment!$F$2),"Komentovat","")</f>
        <v/>
      </c>
      <c r="X13" s="406">
        <f t="shared" si="8"/>
        <v>1</v>
      </c>
      <c r="Y13" s="404" t="str">
        <f t="shared" si="4"/>
        <v xml:space="preserve"> </v>
      </c>
      <c r="Z13" s="407">
        <f t="shared" si="5"/>
        <v>0</v>
      </c>
      <c r="AA13" s="408" t="str">
        <f t="shared" si="6"/>
        <v>5600221226776121</v>
      </c>
      <c r="AB13" s="388"/>
      <c r="AC13" s="409">
        <f t="shared" si="7"/>
        <v>0</v>
      </c>
      <c r="AD13" s="388"/>
      <c r="AE13" s="388"/>
      <c r="AF13" s="388"/>
    </row>
    <row r="14" spans="1:32" outlineLevel="2" x14ac:dyDescent="0.2">
      <c r="A14" s="391">
        <f t="shared" si="0"/>
        <v>12</v>
      </c>
      <c r="B14" s="392" t="s">
        <v>420</v>
      </c>
      <c r="C14" s="393" t="s">
        <v>425</v>
      </c>
      <c r="D14" s="394">
        <v>2679</v>
      </c>
      <c r="E14" s="393">
        <v>6121</v>
      </c>
      <c r="F14" s="395"/>
      <c r="G14" s="412" t="s">
        <v>435</v>
      </c>
      <c r="H14" s="394">
        <v>2016</v>
      </c>
      <c r="I14" s="394">
        <v>2018</v>
      </c>
      <c r="J14" s="396">
        <v>3900</v>
      </c>
      <c r="K14" s="396"/>
      <c r="L14" s="397"/>
      <c r="M14" s="398"/>
      <c r="N14" s="398">
        <v>98</v>
      </c>
      <c r="O14" s="396"/>
      <c r="P14" s="399">
        <f t="shared" si="2"/>
        <v>0</v>
      </c>
      <c r="Q14" s="398">
        <v>2202</v>
      </c>
      <c r="R14" s="400">
        <v>1600</v>
      </c>
      <c r="S14" s="401"/>
      <c r="T14" s="402" t="s">
        <v>423</v>
      </c>
      <c r="U14" s="403"/>
      <c r="V14" s="404">
        <f t="shared" si="3"/>
        <v>0</v>
      </c>
      <c r="W14" s="405" t="str">
        <f>IF(AND(P14&lt;[3]koment!$F$1,N14&gt;=[3]koment!$F$2),"Komentovat","")</f>
        <v/>
      </c>
      <c r="X14" s="406">
        <f t="shared" si="8"/>
        <v>1</v>
      </c>
      <c r="Y14" s="404" t="str">
        <f t="shared" si="4"/>
        <v xml:space="preserve"> </v>
      </c>
      <c r="Z14" s="407">
        <f t="shared" si="5"/>
        <v>0</v>
      </c>
      <c r="AA14" s="408" t="str">
        <f t="shared" si="6"/>
        <v>5600221226796121</v>
      </c>
      <c r="AB14" s="388"/>
      <c r="AC14" s="409">
        <f t="shared" si="7"/>
        <v>0</v>
      </c>
      <c r="AD14" s="388"/>
      <c r="AE14" s="388"/>
      <c r="AF14" s="388"/>
    </row>
    <row r="15" spans="1:32" outlineLevel="2" x14ac:dyDescent="0.2">
      <c r="A15" s="391">
        <f t="shared" si="0"/>
        <v>13</v>
      </c>
      <c r="B15" s="392" t="s">
        <v>420</v>
      </c>
      <c r="C15" s="393" t="s">
        <v>425</v>
      </c>
      <c r="D15" s="394">
        <v>2681</v>
      </c>
      <c r="E15" s="393">
        <v>6121</v>
      </c>
      <c r="F15" s="395"/>
      <c r="G15" s="412" t="s">
        <v>436</v>
      </c>
      <c r="H15" s="394">
        <v>2016</v>
      </c>
      <c r="I15" s="394">
        <v>2019</v>
      </c>
      <c r="J15" s="396">
        <v>248794</v>
      </c>
      <c r="K15" s="396"/>
      <c r="L15" s="397"/>
      <c r="M15" s="398"/>
      <c r="N15" s="398">
        <v>500</v>
      </c>
      <c r="O15" s="396"/>
      <c r="P15" s="399">
        <f t="shared" si="2"/>
        <v>0</v>
      </c>
      <c r="Q15" s="398">
        <v>9500</v>
      </c>
      <c r="R15" s="400">
        <v>93000</v>
      </c>
      <c r="S15" s="401">
        <v>145794</v>
      </c>
      <c r="T15" s="402" t="s">
        <v>423</v>
      </c>
      <c r="U15" s="403"/>
      <c r="V15" s="404">
        <f t="shared" si="3"/>
        <v>0</v>
      </c>
      <c r="W15" s="405" t="str">
        <f>IF(AND(P15&lt;[3]koment!$F$1,N15&gt;=[3]koment!$F$2),"Komentovat","")</f>
        <v/>
      </c>
      <c r="X15" s="406">
        <f t="shared" si="8"/>
        <v>1</v>
      </c>
      <c r="Y15" s="404" t="str">
        <f t="shared" si="4"/>
        <v xml:space="preserve"> </v>
      </c>
      <c r="Z15" s="407">
        <f t="shared" si="5"/>
        <v>0</v>
      </c>
      <c r="AA15" s="408" t="str">
        <f t="shared" si="6"/>
        <v>5600221226816121</v>
      </c>
      <c r="AB15" s="388"/>
      <c r="AC15" s="409">
        <f t="shared" si="7"/>
        <v>0</v>
      </c>
      <c r="AD15" s="388"/>
      <c r="AE15" s="388"/>
      <c r="AF15" s="388"/>
    </row>
    <row r="16" spans="1:32" outlineLevel="2" x14ac:dyDescent="0.2">
      <c r="A16" s="391">
        <f t="shared" si="0"/>
        <v>14</v>
      </c>
      <c r="B16" s="392" t="s">
        <v>420</v>
      </c>
      <c r="C16" s="393" t="s">
        <v>425</v>
      </c>
      <c r="D16" s="394">
        <v>2682</v>
      </c>
      <c r="E16" s="393">
        <v>6121</v>
      </c>
      <c r="F16" s="395"/>
      <c r="G16" s="412" t="s">
        <v>437</v>
      </c>
      <c r="H16" s="394">
        <v>2016</v>
      </c>
      <c r="I16" s="394">
        <v>2017</v>
      </c>
      <c r="J16" s="396">
        <v>10900</v>
      </c>
      <c r="K16" s="396"/>
      <c r="L16" s="397"/>
      <c r="M16" s="398"/>
      <c r="N16" s="398">
        <v>273</v>
      </c>
      <c r="O16" s="396">
        <v>156</v>
      </c>
      <c r="P16" s="399">
        <f t="shared" si="2"/>
        <v>0.5714285714285714</v>
      </c>
      <c r="Q16" s="398">
        <v>10400</v>
      </c>
      <c r="R16" s="400"/>
      <c r="S16" s="401"/>
      <c r="T16" s="402" t="s">
        <v>423</v>
      </c>
      <c r="U16" s="403"/>
      <c r="V16" s="404">
        <f t="shared" si="3"/>
        <v>227</v>
      </c>
      <c r="W16" s="405" t="str">
        <f>IF(AND(P16&lt;[3]koment!$F$1,N16&gt;=[3]koment!$F$2),"Komentovat","")</f>
        <v/>
      </c>
      <c r="X16" s="406">
        <f t="shared" si="8"/>
        <v>1</v>
      </c>
      <c r="Y16" s="404">
        <f t="shared" si="4"/>
        <v>5600</v>
      </c>
      <c r="Z16" s="407" t="str">
        <f t="shared" si="5"/>
        <v>ORG 2682 - Úprava zastávky Rokytova</v>
      </c>
      <c r="AA16" s="408" t="str">
        <f t="shared" si="6"/>
        <v>5600221226826121</v>
      </c>
      <c r="AB16" s="388"/>
      <c r="AC16" s="409">
        <f t="shared" si="7"/>
        <v>227</v>
      </c>
      <c r="AD16" s="388"/>
      <c r="AE16" s="388"/>
      <c r="AF16" s="388"/>
    </row>
    <row r="17" spans="1:32" outlineLevel="2" x14ac:dyDescent="0.2">
      <c r="A17" s="391">
        <f t="shared" si="0"/>
        <v>15</v>
      </c>
      <c r="B17" s="392" t="s">
        <v>420</v>
      </c>
      <c r="C17" s="393" t="s">
        <v>425</v>
      </c>
      <c r="D17" s="394">
        <v>2683</v>
      </c>
      <c r="E17" s="393">
        <v>6121</v>
      </c>
      <c r="F17" s="395"/>
      <c r="G17" s="412" t="s">
        <v>438</v>
      </c>
      <c r="H17" s="394">
        <v>2016</v>
      </c>
      <c r="I17" s="394">
        <v>2019</v>
      </c>
      <c r="J17" s="396">
        <v>73100</v>
      </c>
      <c r="K17" s="396"/>
      <c r="L17" s="397"/>
      <c r="M17" s="398"/>
      <c r="N17" s="398">
        <v>600</v>
      </c>
      <c r="O17" s="396">
        <v>581</v>
      </c>
      <c r="P17" s="399">
        <f t="shared" si="2"/>
        <v>0.96833333333333338</v>
      </c>
      <c r="Q17" s="398">
        <v>4960</v>
      </c>
      <c r="R17" s="400">
        <v>40000</v>
      </c>
      <c r="S17" s="401">
        <v>27540</v>
      </c>
      <c r="T17" s="402" t="s">
        <v>423</v>
      </c>
      <c r="U17" s="403"/>
      <c r="V17" s="404">
        <f t="shared" si="3"/>
        <v>0</v>
      </c>
      <c r="W17" s="405" t="str">
        <f>IF(AND(P17&lt;[3]koment!$F$1,N17&gt;=[3]koment!$F$2),"Komentovat","")</f>
        <v/>
      </c>
      <c r="X17" s="406">
        <f t="shared" si="8"/>
        <v>1</v>
      </c>
      <c r="Y17" s="404" t="str">
        <f t="shared" si="4"/>
        <v xml:space="preserve"> </v>
      </c>
      <c r="Z17" s="407">
        <f t="shared" si="5"/>
        <v>0</v>
      </c>
      <c r="AA17" s="408" t="str">
        <f t="shared" si="6"/>
        <v>5600221226836121</v>
      </c>
      <c r="AB17" s="388"/>
      <c r="AC17" s="409">
        <f t="shared" si="7"/>
        <v>0</v>
      </c>
      <c r="AD17" s="388"/>
      <c r="AE17" s="388"/>
      <c r="AF17" s="388"/>
    </row>
    <row r="18" spans="1:32" outlineLevel="2" x14ac:dyDescent="0.2">
      <c r="A18" s="391">
        <f t="shared" si="0"/>
        <v>16</v>
      </c>
      <c r="B18" s="392" t="s">
        <v>420</v>
      </c>
      <c r="C18" s="393" t="s">
        <v>425</v>
      </c>
      <c r="D18" s="394">
        <v>2687</v>
      </c>
      <c r="E18" s="393">
        <v>6121</v>
      </c>
      <c r="F18" s="395"/>
      <c r="G18" s="412" t="s">
        <v>439</v>
      </c>
      <c r="H18" s="394">
        <v>2016</v>
      </c>
      <c r="I18" s="394">
        <v>2018</v>
      </c>
      <c r="J18" s="396">
        <v>33400</v>
      </c>
      <c r="K18" s="396"/>
      <c r="L18" s="397"/>
      <c r="M18" s="398"/>
      <c r="N18" s="398">
        <v>500</v>
      </c>
      <c r="O18" s="396"/>
      <c r="P18" s="399">
        <f t="shared" si="2"/>
        <v>0</v>
      </c>
      <c r="Q18" s="398">
        <v>4000</v>
      </c>
      <c r="R18" s="400">
        <v>28900</v>
      </c>
      <c r="S18" s="401"/>
      <c r="T18" s="402" t="s">
        <v>423</v>
      </c>
      <c r="U18" s="403"/>
      <c r="V18" s="404">
        <f t="shared" si="3"/>
        <v>0</v>
      </c>
      <c r="W18" s="405" t="str">
        <f>IF(AND(P18&lt;[3]koment!$F$1,N18&gt;=[3]koment!$F$2),"Komentovat","")</f>
        <v/>
      </c>
      <c r="X18" s="406">
        <f t="shared" si="8"/>
        <v>1</v>
      </c>
      <c r="Y18" s="404" t="str">
        <f t="shared" si="4"/>
        <v xml:space="preserve"> </v>
      </c>
      <c r="Z18" s="407">
        <f t="shared" si="5"/>
        <v>0</v>
      </c>
      <c r="AA18" s="408" t="str">
        <f t="shared" si="6"/>
        <v>5600221226876121</v>
      </c>
      <c r="AB18" s="388"/>
      <c r="AC18" s="409">
        <f t="shared" si="7"/>
        <v>0</v>
      </c>
      <c r="AD18" s="388"/>
      <c r="AE18" s="388"/>
      <c r="AF18" s="388"/>
    </row>
    <row r="19" spans="1:32" outlineLevel="2" x14ac:dyDescent="0.2">
      <c r="A19" s="391">
        <f t="shared" si="0"/>
        <v>17</v>
      </c>
      <c r="B19" s="392" t="s">
        <v>420</v>
      </c>
      <c r="C19" s="393" t="s">
        <v>425</v>
      </c>
      <c r="D19" s="413">
        <v>2771</v>
      </c>
      <c r="E19" s="393">
        <v>6121</v>
      </c>
      <c r="F19" s="395"/>
      <c r="G19" s="414" t="s">
        <v>440</v>
      </c>
      <c r="H19" s="394">
        <v>2015</v>
      </c>
      <c r="I19" s="394">
        <v>2018</v>
      </c>
      <c r="J19" s="396">
        <v>21700</v>
      </c>
      <c r="K19" s="415"/>
      <c r="L19" s="416">
        <v>0</v>
      </c>
      <c r="M19" s="398">
        <v>2000</v>
      </c>
      <c r="N19" s="398">
        <v>1000</v>
      </c>
      <c r="O19" s="396">
        <v>552</v>
      </c>
      <c r="P19" s="399">
        <f t="shared" si="2"/>
        <v>0.55200000000000005</v>
      </c>
      <c r="Q19" s="398">
        <v>19700</v>
      </c>
      <c r="R19" s="400"/>
      <c r="S19" s="401"/>
      <c r="T19" s="402" t="s">
        <v>423</v>
      </c>
      <c r="U19" s="403"/>
      <c r="V19" s="404">
        <f t="shared" si="3"/>
        <v>1000</v>
      </c>
      <c r="W19" s="405" t="str">
        <f>IF(AND(P19&lt;[3]koment!$F$1,N19&gt;=[3]koment!$F$2),"Komentovat","")</f>
        <v>Komentovat</v>
      </c>
      <c r="X19" s="406">
        <f t="shared" si="8"/>
        <v>2</v>
      </c>
      <c r="Y19" s="404">
        <f t="shared" si="4"/>
        <v>5600</v>
      </c>
      <c r="Z19" s="407" t="str">
        <f t="shared" si="5"/>
        <v>ORG 2771 - Rek. prodloužení ul. M. Horákové v úseku Koliště-Rooseveltova</v>
      </c>
      <c r="AA19" s="408" t="str">
        <f t="shared" si="6"/>
        <v>5600221227716121</v>
      </c>
      <c r="AB19" s="388"/>
      <c r="AC19" s="409">
        <f t="shared" si="7"/>
        <v>1000</v>
      </c>
      <c r="AD19" s="388"/>
      <c r="AE19" s="388"/>
      <c r="AF19" s="388"/>
    </row>
    <row r="20" spans="1:32" outlineLevel="2" x14ac:dyDescent="0.2">
      <c r="A20" s="391">
        <f t="shared" si="0"/>
        <v>18</v>
      </c>
      <c r="B20" s="392" t="s">
        <v>420</v>
      </c>
      <c r="C20" s="393" t="s">
        <v>425</v>
      </c>
      <c r="D20" s="394">
        <v>2799</v>
      </c>
      <c r="E20" s="393">
        <v>6121</v>
      </c>
      <c r="F20" s="395"/>
      <c r="G20" s="412" t="s">
        <v>441</v>
      </c>
      <c r="H20" s="394">
        <v>2014</v>
      </c>
      <c r="I20" s="394">
        <v>2018</v>
      </c>
      <c r="J20" s="396">
        <v>15650</v>
      </c>
      <c r="K20" s="396"/>
      <c r="L20" s="397">
        <v>262</v>
      </c>
      <c r="M20" s="398">
        <v>11700</v>
      </c>
      <c r="N20" s="398">
        <v>600</v>
      </c>
      <c r="O20" s="396">
        <v>26</v>
      </c>
      <c r="P20" s="399">
        <f t="shared" si="2"/>
        <v>4.3333333333333335E-2</v>
      </c>
      <c r="Q20" s="398">
        <v>1000</v>
      </c>
      <c r="R20" s="400">
        <v>13788</v>
      </c>
      <c r="S20" s="401"/>
      <c r="T20" s="402" t="s">
        <v>423</v>
      </c>
      <c r="U20" s="403"/>
      <c r="V20" s="404">
        <f t="shared" si="3"/>
        <v>0</v>
      </c>
      <c r="W20" s="405" t="str">
        <f>IF(AND(P20&lt;[3]koment!$F$1,N20&gt;=[3]koment!$F$2),"Komentovat","")</f>
        <v/>
      </c>
      <c r="X20" s="406">
        <f t="shared" si="8"/>
        <v>2</v>
      </c>
      <c r="Y20" s="404" t="str">
        <f t="shared" si="4"/>
        <v xml:space="preserve"> </v>
      </c>
      <c r="Z20" s="407">
        <f t="shared" si="5"/>
        <v>0</v>
      </c>
      <c r="AA20" s="408" t="str">
        <f t="shared" si="6"/>
        <v>5600221227996121</v>
      </c>
      <c r="AB20" s="388"/>
      <c r="AC20" s="409">
        <f t="shared" si="7"/>
        <v>0</v>
      </c>
      <c r="AD20" s="388"/>
      <c r="AE20" s="388"/>
      <c r="AF20" s="388"/>
    </row>
    <row r="21" spans="1:32" outlineLevel="2" x14ac:dyDescent="0.2">
      <c r="A21" s="391">
        <f t="shared" si="0"/>
        <v>19</v>
      </c>
      <c r="B21" s="392" t="s">
        <v>420</v>
      </c>
      <c r="C21" s="393" t="s">
        <v>425</v>
      </c>
      <c r="D21" s="394">
        <v>2800</v>
      </c>
      <c r="E21" s="393">
        <v>6121</v>
      </c>
      <c r="F21" s="395"/>
      <c r="G21" s="412" t="s">
        <v>442</v>
      </c>
      <c r="H21" s="394">
        <v>2014</v>
      </c>
      <c r="I21" s="394">
        <v>2020</v>
      </c>
      <c r="J21" s="396">
        <v>294500</v>
      </c>
      <c r="K21" s="396"/>
      <c r="L21" s="397">
        <v>1</v>
      </c>
      <c r="M21" s="398">
        <v>9000</v>
      </c>
      <c r="N21" s="398">
        <v>400</v>
      </c>
      <c r="O21" s="396">
        <v>179</v>
      </c>
      <c r="P21" s="399">
        <f t="shared" si="2"/>
        <v>0.44750000000000001</v>
      </c>
      <c r="Q21" s="398">
        <v>15000</v>
      </c>
      <c r="R21" s="400">
        <v>25000</v>
      </c>
      <c r="S21" s="401">
        <v>254099</v>
      </c>
      <c r="T21" s="402" t="s">
        <v>423</v>
      </c>
      <c r="U21" s="403"/>
      <c r="V21" s="404">
        <f t="shared" si="3"/>
        <v>0</v>
      </c>
      <c r="W21" s="405" t="str">
        <f>IF(AND(P21&lt;[3]koment!$F$1,N21&gt;=[3]koment!$F$2),"Komentovat","")</f>
        <v/>
      </c>
      <c r="X21" s="406">
        <f t="shared" si="8"/>
        <v>2</v>
      </c>
      <c r="Y21" s="404" t="str">
        <f t="shared" si="4"/>
        <v xml:space="preserve"> </v>
      </c>
      <c r="Z21" s="407">
        <f t="shared" si="5"/>
        <v>0</v>
      </c>
      <c r="AA21" s="408" t="str">
        <f t="shared" si="6"/>
        <v>5600221228006121</v>
      </c>
      <c r="AB21" s="388"/>
      <c r="AC21" s="409">
        <f t="shared" si="7"/>
        <v>0</v>
      </c>
      <c r="AD21" s="388"/>
      <c r="AE21" s="388"/>
      <c r="AF21" s="388"/>
    </row>
    <row r="22" spans="1:32" outlineLevel="2" x14ac:dyDescent="0.2">
      <c r="A22" s="391">
        <f t="shared" si="0"/>
        <v>20</v>
      </c>
      <c r="B22" s="392" t="s">
        <v>420</v>
      </c>
      <c r="C22" s="393" t="s">
        <v>425</v>
      </c>
      <c r="D22" s="394">
        <v>2827</v>
      </c>
      <c r="E22" s="393">
        <v>6121</v>
      </c>
      <c r="F22" s="395"/>
      <c r="G22" s="412" t="s">
        <v>443</v>
      </c>
      <c r="H22" s="394">
        <v>2014</v>
      </c>
      <c r="I22" s="394">
        <v>2017</v>
      </c>
      <c r="J22" s="396">
        <v>5770</v>
      </c>
      <c r="K22" s="396"/>
      <c r="L22" s="397">
        <v>261</v>
      </c>
      <c r="M22" s="398"/>
      <c r="N22" s="398">
        <v>500</v>
      </c>
      <c r="O22" s="396">
        <v>47</v>
      </c>
      <c r="P22" s="399">
        <f t="shared" si="2"/>
        <v>9.4E-2</v>
      </c>
      <c r="Q22" s="398">
        <v>5009</v>
      </c>
      <c r="R22" s="400"/>
      <c r="S22" s="401"/>
      <c r="T22" s="402" t="s">
        <v>423</v>
      </c>
      <c r="U22" s="403"/>
      <c r="V22" s="404">
        <f t="shared" si="3"/>
        <v>0</v>
      </c>
      <c r="W22" s="405" t="str">
        <f>IF(AND(P22&lt;[3]koment!$F$1,N22&gt;=[3]koment!$F$2),"Komentovat","")</f>
        <v/>
      </c>
      <c r="X22" s="406">
        <f t="shared" si="8"/>
        <v>2</v>
      </c>
      <c r="Y22" s="404" t="str">
        <f t="shared" si="4"/>
        <v xml:space="preserve"> </v>
      </c>
      <c r="Z22" s="407">
        <f t="shared" si="5"/>
        <v>0</v>
      </c>
      <c r="AA22" s="408" t="str">
        <f t="shared" si="6"/>
        <v>5600221228276121</v>
      </c>
      <c r="AB22" s="388"/>
      <c r="AC22" s="409">
        <f t="shared" si="7"/>
        <v>0</v>
      </c>
      <c r="AD22" s="388"/>
      <c r="AE22" s="388"/>
      <c r="AF22" s="388"/>
    </row>
    <row r="23" spans="1:32" outlineLevel="2" x14ac:dyDescent="0.2">
      <c r="A23" s="391">
        <f t="shared" si="0"/>
        <v>21</v>
      </c>
      <c r="B23" s="392" t="s">
        <v>420</v>
      </c>
      <c r="C23" s="393" t="s">
        <v>425</v>
      </c>
      <c r="D23" s="394">
        <v>2828</v>
      </c>
      <c r="E23" s="393">
        <v>6121</v>
      </c>
      <c r="F23" s="395"/>
      <c r="G23" s="412" t="s">
        <v>444</v>
      </c>
      <c r="H23" s="394">
        <v>2014</v>
      </c>
      <c r="I23" s="394">
        <v>2018</v>
      </c>
      <c r="J23" s="396">
        <v>24680</v>
      </c>
      <c r="K23" s="396"/>
      <c r="L23" s="397">
        <v>224</v>
      </c>
      <c r="M23" s="398">
        <v>10000</v>
      </c>
      <c r="N23" s="398">
        <v>500</v>
      </c>
      <c r="O23" s="396">
        <v>245</v>
      </c>
      <c r="P23" s="399">
        <f t="shared" si="2"/>
        <v>0.49</v>
      </c>
      <c r="Q23" s="398">
        <v>4000</v>
      </c>
      <c r="R23" s="400">
        <v>19956</v>
      </c>
      <c r="S23" s="401"/>
      <c r="T23" s="402" t="s">
        <v>423</v>
      </c>
      <c r="U23" s="403"/>
      <c r="V23" s="404">
        <f t="shared" si="3"/>
        <v>0</v>
      </c>
      <c r="W23" s="405" t="str">
        <f>IF(AND(P23&lt;[3]koment!$F$1,N23&gt;=[3]koment!$F$2),"Komentovat","")</f>
        <v/>
      </c>
      <c r="X23" s="406">
        <f t="shared" si="8"/>
        <v>2</v>
      </c>
      <c r="Y23" s="404" t="str">
        <f t="shared" si="4"/>
        <v xml:space="preserve"> </v>
      </c>
      <c r="Z23" s="407">
        <f t="shared" si="5"/>
        <v>0</v>
      </c>
      <c r="AA23" s="408" t="str">
        <f t="shared" si="6"/>
        <v>5600221228286121</v>
      </c>
      <c r="AB23" s="388"/>
      <c r="AC23" s="409">
        <f t="shared" si="7"/>
        <v>0</v>
      </c>
      <c r="AD23" s="388"/>
      <c r="AE23" s="388"/>
      <c r="AF23" s="388"/>
    </row>
    <row r="24" spans="1:32" outlineLevel="2" x14ac:dyDescent="0.2">
      <c r="A24" s="391">
        <f t="shared" si="0"/>
        <v>22</v>
      </c>
      <c r="B24" s="392" t="s">
        <v>420</v>
      </c>
      <c r="C24" s="393" t="s">
        <v>425</v>
      </c>
      <c r="D24" s="394">
        <v>2829</v>
      </c>
      <c r="E24" s="393">
        <v>6121</v>
      </c>
      <c r="F24" s="395"/>
      <c r="G24" s="412" t="s">
        <v>445</v>
      </c>
      <c r="H24" s="394">
        <v>2014</v>
      </c>
      <c r="I24" s="394">
        <v>2017</v>
      </c>
      <c r="J24" s="396">
        <v>7640</v>
      </c>
      <c r="K24" s="396">
        <v>324</v>
      </c>
      <c r="L24" s="397">
        <v>6472</v>
      </c>
      <c r="M24" s="398">
        <v>840</v>
      </c>
      <c r="N24" s="398">
        <v>840</v>
      </c>
      <c r="O24" s="396">
        <v>547</v>
      </c>
      <c r="P24" s="399">
        <f t="shared" si="2"/>
        <v>0.65119047619047621</v>
      </c>
      <c r="Q24" s="398">
        <v>328</v>
      </c>
      <c r="R24" s="400"/>
      <c r="S24" s="401"/>
      <c r="T24" s="402" t="s">
        <v>423</v>
      </c>
      <c r="U24" s="403"/>
      <c r="V24" s="404">
        <f t="shared" si="3"/>
        <v>0</v>
      </c>
      <c r="W24" s="405" t="str">
        <f>IF(AND(P24&lt;[3]koment!$F$1,N24&gt;=[3]koment!$F$2),"Komentovat","")</f>
        <v/>
      </c>
      <c r="X24" s="406">
        <f t="shared" si="8"/>
        <v>2</v>
      </c>
      <c r="Y24" s="404" t="str">
        <f t="shared" si="4"/>
        <v xml:space="preserve"> </v>
      </c>
      <c r="Z24" s="407">
        <f t="shared" si="5"/>
        <v>0</v>
      </c>
      <c r="AA24" s="408" t="str">
        <f t="shared" si="6"/>
        <v>5600221228296121</v>
      </c>
      <c r="AB24" s="388"/>
      <c r="AC24" s="409">
        <f t="shared" si="7"/>
        <v>0</v>
      </c>
      <c r="AD24" s="388"/>
      <c r="AE24" s="388"/>
      <c r="AF24" s="388"/>
    </row>
    <row r="25" spans="1:32" outlineLevel="2" x14ac:dyDescent="0.2">
      <c r="A25" s="391">
        <f t="shared" si="0"/>
        <v>23</v>
      </c>
      <c r="B25" s="392" t="s">
        <v>420</v>
      </c>
      <c r="C25" s="393" t="s">
        <v>425</v>
      </c>
      <c r="D25" s="394">
        <v>2830</v>
      </c>
      <c r="E25" s="393">
        <v>6121</v>
      </c>
      <c r="F25" s="395"/>
      <c r="G25" s="412" t="s">
        <v>446</v>
      </c>
      <c r="H25" s="394">
        <v>2014</v>
      </c>
      <c r="I25" s="394">
        <v>2017</v>
      </c>
      <c r="J25" s="396">
        <v>2650</v>
      </c>
      <c r="K25" s="396"/>
      <c r="L25" s="397">
        <v>76</v>
      </c>
      <c r="M25" s="398">
        <v>2515</v>
      </c>
      <c r="N25" s="398">
        <v>515</v>
      </c>
      <c r="O25" s="396">
        <v>167</v>
      </c>
      <c r="P25" s="399">
        <f t="shared" si="2"/>
        <v>0.32427184466019415</v>
      </c>
      <c r="Q25" s="398">
        <v>2059</v>
      </c>
      <c r="R25" s="400"/>
      <c r="S25" s="401"/>
      <c r="T25" s="402" t="s">
        <v>423</v>
      </c>
      <c r="U25" s="403"/>
      <c r="V25" s="404">
        <f t="shared" si="3"/>
        <v>0</v>
      </c>
      <c r="W25" s="405" t="str">
        <f>IF(AND(P25&lt;[3]koment!$F$1,N25&gt;=[3]koment!$F$2),"Komentovat","")</f>
        <v/>
      </c>
      <c r="X25" s="406">
        <f t="shared" si="8"/>
        <v>2</v>
      </c>
      <c r="Y25" s="404" t="str">
        <f t="shared" si="4"/>
        <v xml:space="preserve"> </v>
      </c>
      <c r="Z25" s="407">
        <f t="shared" si="5"/>
        <v>0</v>
      </c>
      <c r="AA25" s="408" t="str">
        <f t="shared" si="6"/>
        <v>5600221228306121</v>
      </c>
      <c r="AB25" s="388"/>
      <c r="AC25" s="409">
        <f t="shared" si="7"/>
        <v>0</v>
      </c>
      <c r="AD25" s="388"/>
      <c r="AE25" s="388"/>
      <c r="AF25" s="388"/>
    </row>
    <row r="26" spans="1:32" outlineLevel="2" x14ac:dyDescent="0.2">
      <c r="A26" s="391">
        <f t="shared" si="0"/>
        <v>24</v>
      </c>
      <c r="B26" s="392" t="s">
        <v>420</v>
      </c>
      <c r="C26" s="393" t="s">
        <v>425</v>
      </c>
      <c r="D26" s="394">
        <v>2831</v>
      </c>
      <c r="E26" s="393">
        <v>6121</v>
      </c>
      <c r="F26" s="395" t="s">
        <v>447</v>
      </c>
      <c r="G26" s="412" t="s">
        <v>448</v>
      </c>
      <c r="H26" s="394">
        <v>2014</v>
      </c>
      <c r="I26" s="394">
        <v>2018</v>
      </c>
      <c r="J26" s="396">
        <v>169835</v>
      </c>
      <c r="K26" s="396"/>
      <c r="L26" s="397">
        <v>1099</v>
      </c>
      <c r="M26" s="398">
        <v>4000</v>
      </c>
      <c r="N26" s="398">
        <v>500</v>
      </c>
      <c r="O26" s="396">
        <v>50</v>
      </c>
      <c r="P26" s="399">
        <f t="shared" si="2"/>
        <v>0.1</v>
      </c>
      <c r="Q26" s="398">
        <v>4300</v>
      </c>
      <c r="R26" s="400">
        <v>89736</v>
      </c>
      <c r="S26" s="401"/>
      <c r="T26" s="402" t="s">
        <v>423</v>
      </c>
      <c r="U26" s="403"/>
      <c r="V26" s="404">
        <f t="shared" si="3"/>
        <v>74200</v>
      </c>
      <c r="W26" s="405" t="str">
        <f>IF(AND(P26&lt;[3]koment!$F$1,N26&gt;=[3]koment!$F$2),"Komentovat","")</f>
        <v/>
      </c>
      <c r="X26" s="406">
        <f t="shared" si="8"/>
        <v>2</v>
      </c>
      <c r="Y26" s="404">
        <f t="shared" si="4"/>
        <v>5600</v>
      </c>
      <c r="Z26" s="407" t="str">
        <f t="shared" si="5"/>
        <v>ORG 2831 - Terminál Starý Lískovec</v>
      </c>
      <c r="AA26" s="408" t="str">
        <f t="shared" si="6"/>
        <v>5600221228316121S</v>
      </c>
      <c r="AB26" s="388"/>
      <c r="AC26" s="409">
        <f t="shared" si="7"/>
        <v>74200</v>
      </c>
      <c r="AD26" s="388"/>
      <c r="AE26" s="388"/>
      <c r="AF26" s="388"/>
    </row>
    <row r="27" spans="1:32" outlineLevel="2" x14ac:dyDescent="0.2">
      <c r="A27" s="391">
        <f t="shared" si="0"/>
        <v>25</v>
      </c>
      <c r="B27" s="392" t="s">
        <v>420</v>
      </c>
      <c r="C27" s="393" t="s">
        <v>425</v>
      </c>
      <c r="D27" s="394">
        <v>2832</v>
      </c>
      <c r="E27" s="393">
        <v>6121</v>
      </c>
      <c r="F27" s="395"/>
      <c r="G27" s="412" t="s">
        <v>449</v>
      </c>
      <c r="H27" s="394">
        <v>2014</v>
      </c>
      <c r="I27" s="394">
        <v>2020</v>
      </c>
      <c r="J27" s="396">
        <v>638700</v>
      </c>
      <c r="K27" s="396"/>
      <c r="L27" s="397">
        <v>0</v>
      </c>
      <c r="M27" s="398">
        <v>2400</v>
      </c>
      <c r="N27" s="398">
        <v>0</v>
      </c>
      <c r="O27" s="396"/>
      <c r="P27" s="399" t="str">
        <f t="shared" si="2"/>
        <v xml:space="preserve"> </v>
      </c>
      <c r="Q27" s="398">
        <v>2400</v>
      </c>
      <c r="R27" s="400">
        <v>5000</v>
      </c>
      <c r="S27" s="401">
        <v>631300</v>
      </c>
      <c r="T27" s="402" t="s">
        <v>423</v>
      </c>
      <c r="U27" s="403"/>
      <c r="V27" s="404">
        <f t="shared" si="3"/>
        <v>0</v>
      </c>
      <c r="W27" s="405" t="str">
        <f>IF(AND(P27&lt;[3]koment!$F$1,N27&gt;=[3]koment!$F$2),"Komentovat","")</f>
        <v/>
      </c>
      <c r="X27" s="406">
        <f t="shared" si="8"/>
        <v>2</v>
      </c>
      <c r="Y27" s="404" t="str">
        <f t="shared" si="4"/>
        <v xml:space="preserve"> </v>
      </c>
      <c r="Z27" s="407">
        <f t="shared" si="5"/>
        <v>0</v>
      </c>
      <c r="AA27" s="408" t="str">
        <f t="shared" si="6"/>
        <v>5600221228326121</v>
      </c>
      <c r="AB27" s="388"/>
      <c r="AC27" s="409">
        <f t="shared" si="7"/>
        <v>0</v>
      </c>
      <c r="AD27" s="388"/>
      <c r="AE27" s="388"/>
      <c r="AF27" s="388"/>
    </row>
    <row r="28" spans="1:32" outlineLevel="2" x14ac:dyDescent="0.2">
      <c r="A28" s="391">
        <f t="shared" si="0"/>
        <v>26</v>
      </c>
      <c r="B28" s="392" t="s">
        <v>420</v>
      </c>
      <c r="C28" s="393" t="s">
        <v>425</v>
      </c>
      <c r="D28" s="394">
        <v>2833</v>
      </c>
      <c r="E28" s="393">
        <v>6121</v>
      </c>
      <c r="F28" s="395"/>
      <c r="G28" s="412" t="s">
        <v>450</v>
      </c>
      <c r="H28" s="394">
        <v>2014</v>
      </c>
      <c r="I28" s="394">
        <v>2016</v>
      </c>
      <c r="J28" s="396">
        <v>16300</v>
      </c>
      <c r="K28" s="396"/>
      <c r="L28" s="397">
        <v>294</v>
      </c>
      <c r="M28" s="398">
        <v>15940</v>
      </c>
      <c r="N28" s="398">
        <v>10200</v>
      </c>
      <c r="O28" s="396">
        <v>10010</v>
      </c>
      <c r="P28" s="399">
        <f t="shared" si="2"/>
        <v>0.9813725490196078</v>
      </c>
      <c r="Q28" s="398"/>
      <c r="R28" s="400"/>
      <c r="S28" s="401"/>
      <c r="T28" s="402" t="s">
        <v>423</v>
      </c>
      <c r="U28" s="403"/>
      <c r="V28" s="404">
        <f t="shared" si="3"/>
        <v>5806</v>
      </c>
      <c r="W28" s="405" t="str">
        <f>IF(AND(P28&lt;[3]koment!$F$1,N28&gt;=[3]koment!$F$2),"Komentovat","")</f>
        <v/>
      </c>
      <c r="X28" s="406">
        <f t="shared" si="8"/>
        <v>2</v>
      </c>
      <c r="Y28" s="404">
        <f t="shared" si="4"/>
        <v>5600</v>
      </c>
      <c r="Z28" s="407" t="str">
        <f t="shared" si="5"/>
        <v>ORG 2833 - Parkoviště při ulici Spodní</v>
      </c>
      <c r="AA28" s="408" t="str">
        <f t="shared" si="6"/>
        <v>5600221228336121</v>
      </c>
      <c r="AB28" s="388"/>
      <c r="AC28" s="409">
        <f t="shared" si="7"/>
        <v>5806</v>
      </c>
      <c r="AD28" s="388"/>
      <c r="AE28" s="388"/>
      <c r="AF28" s="388"/>
    </row>
    <row r="29" spans="1:32" outlineLevel="2" x14ac:dyDescent="0.2">
      <c r="A29" s="391">
        <f t="shared" si="0"/>
        <v>27</v>
      </c>
      <c r="B29" s="392" t="s">
        <v>420</v>
      </c>
      <c r="C29" s="393" t="s">
        <v>425</v>
      </c>
      <c r="D29" s="394">
        <v>2834</v>
      </c>
      <c r="E29" s="393">
        <v>6121</v>
      </c>
      <c r="F29" s="395"/>
      <c r="G29" s="412" t="s">
        <v>451</v>
      </c>
      <c r="H29" s="394">
        <v>2014</v>
      </c>
      <c r="I29" s="394">
        <v>2020</v>
      </c>
      <c r="J29" s="396">
        <v>444900</v>
      </c>
      <c r="K29" s="396"/>
      <c r="L29" s="397">
        <v>1</v>
      </c>
      <c r="M29" s="398">
        <v>10000</v>
      </c>
      <c r="N29" s="398">
        <v>800</v>
      </c>
      <c r="O29" s="396">
        <v>169</v>
      </c>
      <c r="P29" s="399">
        <f t="shared" si="2"/>
        <v>0.21124999999999999</v>
      </c>
      <c r="Q29" s="398">
        <v>15000</v>
      </c>
      <c r="R29" s="400">
        <v>45000</v>
      </c>
      <c r="S29" s="401">
        <v>384099</v>
      </c>
      <c r="T29" s="402" t="s">
        <v>423</v>
      </c>
      <c r="U29" s="403"/>
      <c r="V29" s="404">
        <f t="shared" si="3"/>
        <v>0</v>
      </c>
      <c r="W29" s="405" t="str">
        <f>IF(AND(P29&lt;[3]koment!$F$1,N29&gt;=[3]koment!$F$2),"Komentovat","")</f>
        <v/>
      </c>
      <c r="X29" s="406">
        <f t="shared" si="8"/>
        <v>2</v>
      </c>
      <c r="Y29" s="404" t="str">
        <f t="shared" si="4"/>
        <v xml:space="preserve"> </v>
      </c>
      <c r="Z29" s="407">
        <f t="shared" si="5"/>
        <v>0</v>
      </c>
      <c r="AA29" s="408" t="str">
        <f t="shared" si="6"/>
        <v>5600221228346121</v>
      </c>
      <c r="AB29" s="388"/>
      <c r="AC29" s="409">
        <f t="shared" si="7"/>
        <v>0</v>
      </c>
      <c r="AD29" s="388"/>
      <c r="AE29" s="388"/>
      <c r="AF29" s="388"/>
    </row>
    <row r="30" spans="1:32" outlineLevel="2" x14ac:dyDescent="0.2">
      <c r="A30" s="391">
        <f t="shared" si="0"/>
        <v>28</v>
      </c>
      <c r="B30" s="392" t="s">
        <v>420</v>
      </c>
      <c r="C30" s="393" t="s">
        <v>425</v>
      </c>
      <c r="D30" s="394">
        <v>2835</v>
      </c>
      <c r="E30" s="393">
        <v>6121</v>
      </c>
      <c r="F30" s="395"/>
      <c r="G30" s="412" t="s">
        <v>452</v>
      </c>
      <c r="H30" s="394">
        <v>2014</v>
      </c>
      <c r="I30" s="394">
        <v>2020</v>
      </c>
      <c r="J30" s="396">
        <v>177600</v>
      </c>
      <c r="K30" s="396"/>
      <c r="L30" s="397">
        <v>0</v>
      </c>
      <c r="M30" s="398">
        <v>200</v>
      </c>
      <c r="N30" s="398">
        <v>0</v>
      </c>
      <c r="O30" s="396"/>
      <c r="P30" s="399" t="str">
        <f t="shared" si="2"/>
        <v xml:space="preserve"> </v>
      </c>
      <c r="Q30" s="398">
        <v>200</v>
      </c>
      <c r="R30" s="400">
        <v>2000</v>
      </c>
      <c r="S30" s="401">
        <v>175400</v>
      </c>
      <c r="T30" s="402" t="s">
        <v>423</v>
      </c>
      <c r="U30" s="403"/>
      <c r="V30" s="404">
        <f t="shared" si="3"/>
        <v>0</v>
      </c>
      <c r="W30" s="405" t="str">
        <f>IF(AND(P30&lt;[3]koment!$F$1,N30&gt;=[3]koment!$F$2),"Komentovat","")</f>
        <v/>
      </c>
      <c r="X30" s="406">
        <f t="shared" si="8"/>
        <v>2</v>
      </c>
      <c r="Y30" s="404" t="str">
        <f t="shared" si="4"/>
        <v xml:space="preserve"> </v>
      </c>
      <c r="Z30" s="407">
        <f t="shared" si="5"/>
        <v>0</v>
      </c>
      <c r="AA30" s="408" t="str">
        <f t="shared" si="6"/>
        <v>5600221228356121</v>
      </c>
      <c r="AB30" s="388"/>
      <c r="AC30" s="409"/>
      <c r="AD30" s="388"/>
      <c r="AE30" s="388"/>
      <c r="AF30" s="388"/>
    </row>
    <row r="31" spans="1:32" outlineLevel="2" x14ac:dyDescent="0.2">
      <c r="A31" s="391">
        <f t="shared" si="0"/>
        <v>29</v>
      </c>
      <c r="B31" s="392" t="s">
        <v>420</v>
      </c>
      <c r="C31" s="393" t="s">
        <v>425</v>
      </c>
      <c r="D31" s="394">
        <v>2836</v>
      </c>
      <c r="E31" s="393">
        <v>6121</v>
      </c>
      <c r="F31" s="395" t="s">
        <v>447</v>
      </c>
      <c r="G31" s="412" t="s">
        <v>453</v>
      </c>
      <c r="H31" s="394">
        <v>2014</v>
      </c>
      <c r="I31" s="394">
        <v>2020</v>
      </c>
      <c r="J31" s="396">
        <v>823000</v>
      </c>
      <c r="K31" s="396"/>
      <c r="L31" s="397">
        <v>1</v>
      </c>
      <c r="M31" s="398">
        <v>5000</v>
      </c>
      <c r="N31" s="398">
        <v>3500</v>
      </c>
      <c r="O31" s="396">
        <v>3007</v>
      </c>
      <c r="P31" s="399">
        <f t="shared" si="2"/>
        <v>0.8591428571428571</v>
      </c>
      <c r="Q31" s="398">
        <v>15000</v>
      </c>
      <c r="R31" s="400">
        <v>20000</v>
      </c>
      <c r="S31" s="401">
        <v>784499</v>
      </c>
      <c r="T31" s="402" t="s">
        <v>423</v>
      </c>
      <c r="U31" s="403"/>
      <c r="V31" s="404">
        <f t="shared" si="3"/>
        <v>0</v>
      </c>
      <c r="W31" s="405" t="str">
        <f>IF(AND(P31&lt;[3]koment!$F$1,N31&gt;=[3]koment!$F$2),"Komentovat","")</f>
        <v/>
      </c>
      <c r="X31" s="406">
        <f t="shared" si="8"/>
        <v>2</v>
      </c>
      <c r="Y31" s="404" t="str">
        <f t="shared" si="4"/>
        <v xml:space="preserve"> </v>
      </c>
      <c r="Z31" s="407">
        <f t="shared" si="5"/>
        <v>0</v>
      </c>
      <c r="AA31" s="408" t="str">
        <f t="shared" si="6"/>
        <v>5600221228366121S</v>
      </c>
      <c r="AB31" s="388"/>
      <c r="AC31" s="409">
        <f t="shared" si="7"/>
        <v>0</v>
      </c>
      <c r="AD31" s="388"/>
      <c r="AE31" s="388"/>
      <c r="AF31" s="388"/>
    </row>
    <row r="32" spans="1:32" outlineLevel="2" x14ac:dyDescent="0.2">
      <c r="A32" s="391">
        <f t="shared" si="0"/>
        <v>30</v>
      </c>
      <c r="B32" s="392" t="s">
        <v>420</v>
      </c>
      <c r="C32" s="393" t="s">
        <v>425</v>
      </c>
      <c r="D32" s="394">
        <v>2838</v>
      </c>
      <c r="E32" s="393">
        <v>6121</v>
      </c>
      <c r="F32" s="395" t="s">
        <v>447</v>
      </c>
      <c r="G32" s="412" t="s">
        <v>454</v>
      </c>
      <c r="H32" s="394">
        <v>2014</v>
      </c>
      <c r="I32" s="394">
        <v>2022</v>
      </c>
      <c r="J32" s="396">
        <v>907800</v>
      </c>
      <c r="K32" s="396"/>
      <c r="L32" s="397">
        <v>1</v>
      </c>
      <c r="M32" s="398">
        <v>13000</v>
      </c>
      <c r="N32" s="398">
        <v>500</v>
      </c>
      <c r="O32" s="396">
        <v>0</v>
      </c>
      <c r="P32" s="399">
        <f t="shared" si="2"/>
        <v>0</v>
      </c>
      <c r="Q32" s="398">
        <v>0</v>
      </c>
      <c r="R32" s="400">
        <v>10000</v>
      </c>
      <c r="S32" s="401">
        <v>861799</v>
      </c>
      <c r="T32" s="402" t="s">
        <v>423</v>
      </c>
      <c r="U32" s="403"/>
      <c r="V32" s="404">
        <f t="shared" si="3"/>
        <v>35500</v>
      </c>
      <c r="W32" s="405" t="str">
        <f>IF(AND(P32&lt;[3]koment!$F$1,N32&gt;=[3]koment!$F$2),"Komentovat","")</f>
        <v/>
      </c>
      <c r="X32" s="406">
        <f t="shared" si="8"/>
        <v>2</v>
      </c>
      <c r="Y32" s="404">
        <f t="shared" si="4"/>
        <v>5600</v>
      </c>
      <c r="Z32" s="407" t="str">
        <f t="shared" si="5"/>
        <v>ORG 2838 - Prodloužení TT z Osové ke Kampusu MU v Bohunicích</v>
      </c>
      <c r="AA32" s="408" t="str">
        <f t="shared" si="6"/>
        <v>5600221228386121S</v>
      </c>
      <c r="AB32" s="388"/>
      <c r="AC32" s="409">
        <f t="shared" si="7"/>
        <v>35500</v>
      </c>
      <c r="AD32" s="388"/>
      <c r="AE32" s="388"/>
      <c r="AF32" s="388"/>
    </row>
    <row r="33" spans="1:32" outlineLevel="2" x14ac:dyDescent="0.2">
      <c r="A33" s="391">
        <f t="shared" si="0"/>
        <v>31</v>
      </c>
      <c r="B33" s="392" t="s">
        <v>420</v>
      </c>
      <c r="C33" s="393" t="s">
        <v>425</v>
      </c>
      <c r="D33" s="394">
        <v>2839</v>
      </c>
      <c r="E33" s="393">
        <v>6121</v>
      </c>
      <c r="F33" s="395"/>
      <c r="G33" s="412" t="s">
        <v>455</v>
      </c>
      <c r="H33" s="394">
        <v>2014</v>
      </c>
      <c r="I33" s="394">
        <v>2018</v>
      </c>
      <c r="J33" s="396">
        <v>7000</v>
      </c>
      <c r="K33" s="396"/>
      <c r="L33" s="397">
        <v>0</v>
      </c>
      <c r="M33" s="398">
        <v>6930</v>
      </c>
      <c r="N33" s="398">
        <v>100</v>
      </c>
      <c r="O33" s="396"/>
      <c r="P33" s="399">
        <f t="shared" si="2"/>
        <v>0</v>
      </c>
      <c r="Q33" s="398">
        <v>2000</v>
      </c>
      <c r="R33" s="400">
        <v>4900</v>
      </c>
      <c r="S33" s="401"/>
      <c r="T33" s="402" t="s">
        <v>423</v>
      </c>
      <c r="U33" s="403"/>
      <c r="V33" s="404">
        <f t="shared" si="3"/>
        <v>0</v>
      </c>
      <c r="W33" s="405" t="str">
        <f>IF(AND(P33&lt;[3]koment!$F$1,N33&gt;=[3]koment!$F$2),"Komentovat","")</f>
        <v/>
      </c>
      <c r="X33" s="406">
        <f t="shared" si="8"/>
        <v>2</v>
      </c>
      <c r="Y33" s="404" t="str">
        <f t="shared" si="4"/>
        <v xml:space="preserve"> </v>
      </c>
      <c r="Z33" s="407">
        <f t="shared" si="5"/>
        <v>0</v>
      </c>
      <c r="AA33" s="408" t="str">
        <f t="shared" si="6"/>
        <v>5600221228396121</v>
      </c>
      <c r="AB33" s="388"/>
      <c r="AC33" s="409">
        <f t="shared" si="7"/>
        <v>0</v>
      </c>
      <c r="AD33" s="388"/>
      <c r="AE33" s="388"/>
      <c r="AF33" s="388"/>
    </row>
    <row r="34" spans="1:32" outlineLevel="2" x14ac:dyDescent="0.2">
      <c r="A34" s="391">
        <f t="shared" si="0"/>
        <v>32</v>
      </c>
      <c r="B34" s="392" t="s">
        <v>420</v>
      </c>
      <c r="C34" s="393" t="s">
        <v>425</v>
      </c>
      <c r="D34" s="394">
        <v>2840</v>
      </c>
      <c r="E34" s="393">
        <v>6121</v>
      </c>
      <c r="F34" s="395"/>
      <c r="G34" s="412" t="s">
        <v>456</v>
      </c>
      <c r="H34" s="394">
        <v>2014</v>
      </c>
      <c r="I34" s="394">
        <v>2019</v>
      </c>
      <c r="J34" s="396">
        <v>39420</v>
      </c>
      <c r="K34" s="396"/>
      <c r="L34" s="397">
        <v>0</v>
      </c>
      <c r="M34" s="398">
        <v>5000</v>
      </c>
      <c r="N34" s="398">
        <v>700</v>
      </c>
      <c r="O34" s="396">
        <v>311</v>
      </c>
      <c r="P34" s="399">
        <f t="shared" si="2"/>
        <v>0.44428571428571428</v>
      </c>
      <c r="Q34" s="398">
        <v>4000</v>
      </c>
      <c r="R34" s="400">
        <v>10000</v>
      </c>
      <c r="S34" s="401">
        <v>24720</v>
      </c>
      <c r="T34" s="402" t="s">
        <v>423</v>
      </c>
      <c r="U34" s="403"/>
      <c r="V34" s="404">
        <f t="shared" si="3"/>
        <v>0</v>
      </c>
      <c r="W34" s="405" t="str">
        <f>IF(AND(P34&lt;[3]koment!$F$1,N34&gt;=[3]koment!$F$2),"Komentovat","")</f>
        <v/>
      </c>
      <c r="X34" s="406">
        <f t="shared" si="8"/>
        <v>2</v>
      </c>
      <c r="Y34" s="404" t="str">
        <f t="shared" si="4"/>
        <v xml:space="preserve"> </v>
      </c>
      <c r="Z34" s="407">
        <f t="shared" si="5"/>
        <v>0</v>
      </c>
      <c r="AA34" s="408" t="str">
        <f t="shared" si="6"/>
        <v>5600221228406121</v>
      </c>
      <c r="AB34" s="388"/>
      <c r="AC34" s="409">
        <f t="shared" si="7"/>
        <v>0</v>
      </c>
      <c r="AD34" s="388"/>
      <c r="AE34" s="388"/>
      <c r="AF34" s="388"/>
    </row>
    <row r="35" spans="1:32" outlineLevel="2" x14ac:dyDescent="0.2">
      <c r="A35" s="391">
        <f t="shared" si="0"/>
        <v>33</v>
      </c>
      <c r="B35" s="392" t="s">
        <v>420</v>
      </c>
      <c r="C35" s="393" t="s">
        <v>425</v>
      </c>
      <c r="D35" s="394">
        <v>2853</v>
      </c>
      <c r="E35" s="393">
        <v>6121</v>
      </c>
      <c r="F35" s="395"/>
      <c r="G35" s="412" t="s">
        <v>457</v>
      </c>
      <c r="H35" s="394">
        <v>2013</v>
      </c>
      <c r="I35" s="394">
        <v>2017</v>
      </c>
      <c r="J35" s="396">
        <v>4900</v>
      </c>
      <c r="K35" s="396"/>
      <c r="L35" s="397">
        <v>364</v>
      </c>
      <c r="M35" s="398">
        <v>4521</v>
      </c>
      <c r="N35" s="398">
        <v>278</v>
      </c>
      <c r="O35" s="396">
        <v>126</v>
      </c>
      <c r="P35" s="399">
        <f t="shared" si="2"/>
        <v>0.45323741007194246</v>
      </c>
      <c r="Q35" s="398">
        <v>4036</v>
      </c>
      <c r="R35" s="400"/>
      <c r="S35" s="401"/>
      <c r="T35" s="394" t="s">
        <v>423</v>
      </c>
      <c r="U35" s="403"/>
      <c r="V35" s="404">
        <f t="shared" si="3"/>
        <v>222</v>
      </c>
      <c r="W35" s="405" t="str">
        <f>IF(AND(P35&lt;[3]koment!$F$1,N35&gt;=[3]koment!$F$2),"Komentovat","")</f>
        <v/>
      </c>
      <c r="X35" s="406">
        <f t="shared" si="8"/>
        <v>2</v>
      </c>
      <c r="Y35" s="404">
        <f t="shared" si="4"/>
        <v>5600</v>
      </c>
      <c r="Z35" s="407" t="str">
        <f t="shared" si="5"/>
        <v>ORG 2853 - Chodník při ulici Černohorské</v>
      </c>
      <c r="AA35" s="408" t="str">
        <f t="shared" si="6"/>
        <v>5600221228536121</v>
      </c>
      <c r="AB35" s="388"/>
      <c r="AC35" s="409">
        <f t="shared" si="7"/>
        <v>222</v>
      </c>
      <c r="AD35" s="388"/>
      <c r="AE35" s="388"/>
      <c r="AF35" s="388"/>
    </row>
    <row r="36" spans="1:32" outlineLevel="2" x14ac:dyDescent="0.2">
      <c r="A36" s="391">
        <f t="shared" si="0"/>
        <v>34</v>
      </c>
      <c r="B36" s="392" t="s">
        <v>420</v>
      </c>
      <c r="C36" s="393" t="s">
        <v>425</v>
      </c>
      <c r="D36" s="394">
        <v>2853</v>
      </c>
      <c r="E36" s="393">
        <v>6130</v>
      </c>
      <c r="F36" s="395"/>
      <c r="G36" s="412" t="s">
        <v>457</v>
      </c>
      <c r="H36" s="394">
        <v>2013</v>
      </c>
      <c r="I36" s="394">
        <v>2017</v>
      </c>
      <c r="J36" s="396"/>
      <c r="K36" s="396"/>
      <c r="L36" s="397"/>
      <c r="M36" s="398"/>
      <c r="N36" s="398">
        <v>222</v>
      </c>
      <c r="O36" s="396">
        <v>199</v>
      </c>
      <c r="P36" s="399">
        <f t="shared" si="2"/>
        <v>0.89639639639639634</v>
      </c>
      <c r="Q36" s="398"/>
      <c r="R36" s="400"/>
      <c r="S36" s="401"/>
      <c r="T36" s="402" t="s">
        <v>423</v>
      </c>
      <c r="U36" s="403"/>
      <c r="V36" s="404">
        <f t="shared" si="3"/>
        <v>-222</v>
      </c>
      <c r="W36" s="405" t="str">
        <f>IF(AND(P36&lt;[3]koment!$F$1,N36&gt;=[3]koment!$F$2),"Komentovat","")</f>
        <v/>
      </c>
      <c r="X36" s="406">
        <f t="shared" si="8"/>
        <v>2</v>
      </c>
      <c r="Y36" s="404">
        <f t="shared" si="4"/>
        <v>5600</v>
      </c>
      <c r="Z36" s="407" t="str">
        <f t="shared" si="5"/>
        <v>ORG 2853 - Chodník při ulici Černohorské</v>
      </c>
      <c r="AA36" s="408" t="str">
        <f t="shared" si="6"/>
        <v>5600221228536130</v>
      </c>
      <c r="AB36" s="388"/>
      <c r="AC36" s="409">
        <f t="shared" si="7"/>
        <v>-222</v>
      </c>
      <c r="AD36" s="388"/>
      <c r="AE36" s="388"/>
      <c r="AF36" s="388"/>
    </row>
    <row r="37" spans="1:32" outlineLevel="2" x14ac:dyDescent="0.2">
      <c r="A37" s="391">
        <f t="shared" si="0"/>
        <v>35</v>
      </c>
      <c r="B37" s="392" t="s">
        <v>420</v>
      </c>
      <c r="C37" s="393" t="s">
        <v>425</v>
      </c>
      <c r="D37" s="394">
        <v>2883</v>
      </c>
      <c r="E37" s="393">
        <v>6121</v>
      </c>
      <c r="F37" s="395"/>
      <c r="G37" s="417" t="s">
        <v>458</v>
      </c>
      <c r="H37" s="394">
        <v>2013</v>
      </c>
      <c r="I37" s="394">
        <v>2016</v>
      </c>
      <c r="J37" s="396">
        <v>27000</v>
      </c>
      <c r="K37" s="396"/>
      <c r="L37" s="397">
        <v>23776</v>
      </c>
      <c r="M37" s="398"/>
      <c r="N37" s="398">
        <v>56</v>
      </c>
      <c r="O37" s="396">
        <v>15</v>
      </c>
      <c r="P37" s="399">
        <f t="shared" si="2"/>
        <v>0.26785714285714285</v>
      </c>
      <c r="Q37" s="398"/>
      <c r="R37" s="400"/>
      <c r="S37" s="401"/>
      <c r="T37" s="402" t="s">
        <v>423</v>
      </c>
      <c r="U37" s="403"/>
      <c r="V37" s="404">
        <f t="shared" si="3"/>
        <v>3168</v>
      </c>
      <c r="W37" s="405" t="str">
        <f>IF(AND(P37&lt;[3]koment!$F$1,N37&gt;=[3]koment!$F$2),"Komentovat","")</f>
        <v/>
      </c>
      <c r="X37" s="406">
        <f t="shared" si="8"/>
        <v>2</v>
      </c>
      <c r="Y37" s="404">
        <f t="shared" si="4"/>
        <v>5600</v>
      </c>
      <c r="Z37" s="407" t="str">
        <f t="shared" si="5"/>
        <v>ORG 2883 - Stavební úpravy křižovatky Kaštanová-Popelova-Vinohradská</v>
      </c>
      <c r="AA37" s="408" t="str">
        <f t="shared" si="6"/>
        <v>5600221228836121</v>
      </c>
      <c r="AB37" s="388"/>
      <c r="AC37" s="409">
        <f t="shared" si="7"/>
        <v>3168</v>
      </c>
      <c r="AD37" s="388"/>
      <c r="AE37" s="388"/>
      <c r="AF37" s="388"/>
    </row>
    <row r="38" spans="1:32" outlineLevel="2" x14ac:dyDescent="0.2">
      <c r="A38" s="391">
        <f t="shared" si="0"/>
        <v>36</v>
      </c>
      <c r="B38" s="392" t="s">
        <v>420</v>
      </c>
      <c r="C38" s="393" t="s">
        <v>425</v>
      </c>
      <c r="D38" s="394">
        <v>2883</v>
      </c>
      <c r="E38" s="393">
        <v>6129</v>
      </c>
      <c r="F38" s="395"/>
      <c r="G38" s="417" t="s">
        <v>458</v>
      </c>
      <c r="H38" s="394">
        <v>2013</v>
      </c>
      <c r="I38" s="394">
        <v>2016</v>
      </c>
      <c r="J38" s="396"/>
      <c r="K38" s="396"/>
      <c r="L38" s="397"/>
      <c r="M38" s="398"/>
      <c r="N38" s="398">
        <v>55</v>
      </c>
      <c r="O38" s="396">
        <v>55</v>
      </c>
      <c r="P38" s="399">
        <f t="shared" si="2"/>
        <v>1</v>
      </c>
      <c r="Q38" s="398"/>
      <c r="R38" s="400"/>
      <c r="S38" s="401"/>
      <c r="T38" s="402" t="s">
        <v>423</v>
      </c>
      <c r="U38" s="403"/>
      <c r="V38" s="404">
        <f t="shared" si="3"/>
        <v>-55</v>
      </c>
      <c r="W38" s="405" t="str">
        <f>IF(AND(P38&lt;[3]koment!$F$1,N38&gt;=[3]koment!$F$2),"Komentovat","")</f>
        <v/>
      </c>
      <c r="X38" s="406">
        <f t="shared" si="8"/>
        <v>2</v>
      </c>
      <c r="Y38" s="404">
        <f t="shared" si="4"/>
        <v>5600</v>
      </c>
      <c r="Z38" s="407" t="str">
        <f t="shared" si="5"/>
        <v>ORG 2883 - Stavební úpravy křižovatky Kaštanová-Popelova-Vinohradská</v>
      </c>
      <c r="AA38" s="408" t="str">
        <f t="shared" si="6"/>
        <v>5600221228836129</v>
      </c>
      <c r="AB38" s="388"/>
      <c r="AC38" s="409">
        <f t="shared" si="7"/>
        <v>-55</v>
      </c>
      <c r="AD38" s="388"/>
      <c r="AE38" s="388"/>
      <c r="AF38" s="388"/>
    </row>
    <row r="39" spans="1:32" outlineLevel="2" x14ac:dyDescent="0.2">
      <c r="A39" s="391">
        <f t="shared" si="0"/>
        <v>37</v>
      </c>
      <c r="B39" s="392" t="s">
        <v>459</v>
      </c>
      <c r="C39" s="393" t="s">
        <v>425</v>
      </c>
      <c r="D39" s="394">
        <v>2885</v>
      </c>
      <c r="E39" s="394">
        <v>6121</v>
      </c>
      <c r="F39" s="395"/>
      <c r="G39" s="412" t="s">
        <v>460</v>
      </c>
      <c r="H39" s="394"/>
      <c r="I39" s="394"/>
      <c r="J39" s="396"/>
      <c r="K39" s="396"/>
      <c r="L39" s="418">
        <v>40320</v>
      </c>
      <c r="M39" s="398">
        <v>14000</v>
      </c>
      <c r="N39" s="398">
        <v>17000</v>
      </c>
      <c r="O39" s="396">
        <v>16888</v>
      </c>
      <c r="P39" s="399">
        <f t="shared" si="2"/>
        <v>0.99341176470588233</v>
      </c>
      <c r="Q39" s="398">
        <v>15000</v>
      </c>
      <c r="R39" s="400"/>
      <c r="S39" s="401"/>
      <c r="T39" s="394" t="s">
        <v>461</v>
      </c>
      <c r="U39" s="403"/>
      <c r="V39" s="404">
        <f t="shared" si="3"/>
        <v>-72320</v>
      </c>
      <c r="W39" s="405" t="str">
        <f>IF(AND(P39&lt;[3]koment!$F$1,N39&gt;=[3]koment!$F$2),"Komentovat","")</f>
        <v/>
      </c>
      <c r="X39" s="406">
        <f t="shared" si="8"/>
        <v>2</v>
      </c>
      <c r="Y39" s="404">
        <f t="shared" si="4"/>
        <v>5400</v>
      </c>
      <c r="Z39" s="407" t="str">
        <f t="shared" si="5"/>
        <v xml:space="preserve">ORG 2885 - Rekonstrukce komunikací </v>
      </c>
      <c r="AA39" s="408" t="str">
        <f t="shared" si="6"/>
        <v>5400221228856121</v>
      </c>
      <c r="AB39" s="388"/>
      <c r="AC39" s="409">
        <f t="shared" si="7"/>
        <v>-72320</v>
      </c>
      <c r="AD39" s="388"/>
      <c r="AE39" s="388"/>
      <c r="AF39" s="388"/>
    </row>
    <row r="40" spans="1:32" outlineLevel="2" x14ac:dyDescent="0.2">
      <c r="A40" s="391">
        <f t="shared" si="0"/>
        <v>38</v>
      </c>
      <c r="B40" s="392" t="s">
        <v>420</v>
      </c>
      <c r="C40" s="393" t="s">
        <v>425</v>
      </c>
      <c r="D40" s="394">
        <v>2903</v>
      </c>
      <c r="E40" s="394">
        <v>6121</v>
      </c>
      <c r="F40" s="395"/>
      <c r="G40" s="412" t="s">
        <v>462</v>
      </c>
      <c r="H40" s="394">
        <v>2012</v>
      </c>
      <c r="I40" s="394">
        <v>2016</v>
      </c>
      <c r="J40" s="396">
        <v>68500</v>
      </c>
      <c r="K40" s="396"/>
      <c r="L40" s="418">
        <v>44208</v>
      </c>
      <c r="M40" s="398">
        <v>100</v>
      </c>
      <c r="N40" s="398">
        <v>0</v>
      </c>
      <c r="O40" s="396">
        <v>0</v>
      </c>
      <c r="P40" s="399" t="str">
        <f t="shared" si="2"/>
        <v xml:space="preserve"> </v>
      </c>
      <c r="Q40" s="398"/>
      <c r="R40" s="400"/>
      <c r="S40" s="401"/>
      <c r="T40" s="394" t="s">
        <v>423</v>
      </c>
      <c r="U40" s="403"/>
      <c r="V40" s="404">
        <f t="shared" si="3"/>
        <v>24292</v>
      </c>
      <c r="W40" s="405" t="str">
        <f>IF(AND(P40&lt;[3]koment!$F$1,N40&gt;=[3]koment!$F$2),"Komentovat","")</f>
        <v/>
      </c>
      <c r="X40" s="406">
        <f t="shared" si="8"/>
        <v>2</v>
      </c>
      <c r="Y40" s="404">
        <f t="shared" si="4"/>
        <v>5600</v>
      </c>
      <c r="Z40" s="407" t="str">
        <f t="shared" si="5"/>
        <v>ORG 2903 - Rekonstrukce ulice Milady Horákové</v>
      </c>
      <c r="AA40" s="408" t="str">
        <f t="shared" si="6"/>
        <v>5600221229036121</v>
      </c>
      <c r="AB40" s="388"/>
      <c r="AC40" s="409">
        <f t="shared" si="7"/>
        <v>24292</v>
      </c>
      <c r="AD40" s="388"/>
      <c r="AE40" s="388"/>
      <c r="AF40" s="388"/>
    </row>
    <row r="41" spans="1:32" outlineLevel="2" x14ac:dyDescent="0.2">
      <c r="A41" s="391">
        <f t="shared" si="0"/>
        <v>39</v>
      </c>
      <c r="B41" s="419">
        <v>5600</v>
      </c>
      <c r="C41" s="393" t="s">
        <v>425</v>
      </c>
      <c r="D41" s="393">
        <v>2930</v>
      </c>
      <c r="E41" s="393">
        <v>6121</v>
      </c>
      <c r="F41" s="402"/>
      <c r="G41" s="412" t="s">
        <v>463</v>
      </c>
      <c r="H41" s="393">
        <v>2012</v>
      </c>
      <c r="I41" s="393">
        <v>2020</v>
      </c>
      <c r="J41" s="420">
        <v>75200</v>
      </c>
      <c r="K41" s="420"/>
      <c r="L41" s="418">
        <v>6410</v>
      </c>
      <c r="M41" s="421">
        <v>14400</v>
      </c>
      <c r="N41" s="421">
        <v>22151</v>
      </c>
      <c r="O41" s="420">
        <v>21119</v>
      </c>
      <c r="P41" s="399">
        <f t="shared" si="2"/>
        <v>0.95341068123335293</v>
      </c>
      <c r="Q41" s="421">
        <v>3400</v>
      </c>
      <c r="R41" s="400"/>
      <c r="S41" s="401">
        <v>41990</v>
      </c>
      <c r="T41" s="402" t="s">
        <v>423</v>
      </c>
      <c r="U41" s="403"/>
      <c r="V41" s="404">
        <f t="shared" si="3"/>
        <v>1249</v>
      </c>
      <c r="W41" s="405" t="str">
        <f>IF(AND(P41&lt;[3]koment!$F$1,N41&gt;=[3]koment!$F$2),"Komentovat","")</f>
        <v/>
      </c>
      <c r="X41" s="406">
        <f t="shared" si="8"/>
        <v>2</v>
      </c>
      <c r="Y41" s="404">
        <f t="shared" si="4"/>
        <v>5600</v>
      </c>
      <c r="Z41" s="407" t="str">
        <f t="shared" si="5"/>
        <v>ORG 2930 - Horova - komunikace</v>
      </c>
      <c r="AA41" s="408" t="str">
        <f t="shared" si="6"/>
        <v>5600221229306121</v>
      </c>
      <c r="AB41" s="388"/>
      <c r="AC41" s="409">
        <f t="shared" si="7"/>
        <v>1249</v>
      </c>
      <c r="AD41" s="388"/>
      <c r="AE41" s="388"/>
      <c r="AF41" s="388"/>
    </row>
    <row r="42" spans="1:32" outlineLevel="2" x14ac:dyDescent="0.2">
      <c r="A42" s="391">
        <f t="shared" si="0"/>
        <v>40</v>
      </c>
      <c r="B42" s="419">
        <v>5600</v>
      </c>
      <c r="C42" s="393" t="s">
        <v>425</v>
      </c>
      <c r="D42" s="393">
        <v>2931</v>
      </c>
      <c r="E42" s="393">
        <v>6121</v>
      </c>
      <c r="F42" s="402"/>
      <c r="G42" s="412" t="s">
        <v>464</v>
      </c>
      <c r="H42" s="393">
        <v>2012</v>
      </c>
      <c r="I42" s="393">
        <v>2020</v>
      </c>
      <c r="J42" s="420">
        <v>91670</v>
      </c>
      <c r="K42" s="420"/>
      <c r="L42" s="418">
        <v>8151</v>
      </c>
      <c r="M42" s="421">
        <v>11500</v>
      </c>
      <c r="N42" s="421">
        <f>11500+7000</f>
        <v>18500</v>
      </c>
      <c r="O42" s="420">
        <v>18194</v>
      </c>
      <c r="P42" s="399">
        <f t="shared" si="2"/>
        <v>0.98345945945945945</v>
      </c>
      <c r="Q42" s="421">
        <v>3000</v>
      </c>
      <c r="R42" s="400"/>
      <c r="S42" s="401">
        <v>62019</v>
      </c>
      <c r="T42" s="402" t="s">
        <v>423</v>
      </c>
      <c r="U42" s="403"/>
      <c r="V42" s="404">
        <f t="shared" si="3"/>
        <v>0</v>
      </c>
      <c r="W42" s="405" t="str">
        <f>IF(AND(P42&lt;[3]koment!$F$1,N42&gt;=[3]koment!$F$2),"Komentovat","")</f>
        <v/>
      </c>
      <c r="X42" s="406">
        <f t="shared" si="8"/>
        <v>2</v>
      </c>
      <c r="Y42" s="404" t="str">
        <f t="shared" si="4"/>
        <v xml:space="preserve"> </v>
      </c>
      <c r="Z42" s="407">
        <f t="shared" si="5"/>
        <v>0</v>
      </c>
      <c r="AA42" s="408" t="str">
        <f t="shared" si="6"/>
        <v>5600221229316121</v>
      </c>
      <c r="AB42" s="388"/>
      <c r="AC42" s="409">
        <f t="shared" si="7"/>
        <v>0</v>
      </c>
      <c r="AD42" s="388"/>
      <c r="AE42" s="388"/>
      <c r="AF42" s="388"/>
    </row>
    <row r="43" spans="1:32" outlineLevel="2" x14ac:dyDescent="0.2">
      <c r="A43" s="391">
        <f t="shared" si="0"/>
        <v>41</v>
      </c>
      <c r="B43" s="392" t="s">
        <v>459</v>
      </c>
      <c r="C43" s="393" t="s">
        <v>425</v>
      </c>
      <c r="D43" s="394">
        <v>2959</v>
      </c>
      <c r="E43" s="393">
        <v>6201</v>
      </c>
      <c r="F43" s="395"/>
      <c r="G43" s="412" t="s">
        <v>465</v>
      </c>
      <c r="H43" s="394"/>
      <c r="I43" s="394"/>
      <c r="J43" s="396"/>
      <c r="K43" s="396"/>
      <c r="L43" s="397"/>
      <c r="M43" s="398"/>
      <c r="N43" s="398">
        <v>18000</v>
      </c>
      <c r="O43" s="396">
        <v>18000</v>
      </c>
      <c r="P43" s="399">
        <f t="shared" si="2"/>
        <v>1</v>
      </c>
      <c r="Q43" s="398"/>
      <c r="R43" s="400"/>
      <c r="S43" s="401"/>
      <c r="T43" s="402" t="s">
        <v>461</v>
      </c>
      <c r="U43" s="403"/>
      <c r="V43" s="404">
        <f t="shared" si="3"/>
        <v>-18000</v>
      </c>
      <c r="W43" s="405" t="str">
        <f>IF(AND(P43&lt;[3]koment!$F$1,N43&gt;=[3]koment!$F$2),"Komentovat","")</f>
        <v/>
      </c>
      <c r="X43" s="406">
        <f t="shared" si="8"/>
        <v>2</v>
      </c>
      <c r="Y43" s="404">
        <f t="shared" si="4"/>
        <v>5400</v>
      </c>
      <c r="Z43" s="407" t="str">
        <f t="shared" si="5"/>
        <v>ORG 2959 - Zvýšení základního kapitálu BKOM</v>
      </c>
      <c r="AA43" s="408" t="str">
        <f t="shared" si="6"/>
        <v>5400221229596201</v>
      </c>
      <c r="AB43" s="388"/>
      <c r="AC43" s="409">
        <f t="shared" si="7"/>
        <v>-18000</v>
      </c>
      <c r="AD43" s="388"/>
      <c r="AE43" s="388"/>
      <c r="AF43" s="388"/>
    </row>
    <row r="44" spans="1:32" outlineLevel="2" x14ac:dyDescent="0.2">
      <c r="A44" s="391">
        <f t="shared" si="0"/>
        <v>42</v>
      </c>
      <c r="B44" s="392" t="s">
        <v>420</v>
      </c>
      <c r="C44" s="393" t="s">
        <v>425</v>
      </c>
      <c r="D44" s="394">
        <v>3062</v>
      </c>
      <c r="E44" s="393">
        <v>6121</v>
      </c>
      <c r="F44" s="395"/>
      <c r="G44" s="412" t="s">
        <v>466</v>
      </c>
      <c r="H44" s="394">
        <v>2008</v>
      </c>
      <c r="I44" s="394">
        <v>2020</v>
      </c>
      <c r="J44" s="396">
        <v>86400</v>
      </c>
      <c r="K44" s="396"/>
      <c r="L44" s="397">
        <v>9255</v>
      </c>
      <c r="M44" s="398"/>
      <c r="N44" s="398">
        <v>2</v>
      </c>
      <c r="O44" s="396">
        <v>1</v>
      </c>
      <c r="P44" s="399">
        <f t="shared" si="2"/>
        <v>0.5</v>
      </c>
      <c r="Q44" s="398">
        <v>2000</v>
      </c>
      <c r="R44" s="400"/>
      <c r="S44" s="401">
        <v>73435</v>
      </c>
      <c r="T44" s="402" t="s">
        <v>423</v>
      </c>
      <c r="U44" s="403"/>
      <c r="V44" s="404">
        <f t="shared" si="3"/>
        <v>1708</v>
      </c>
      <c r="W44" s="405" t="str">
        <f>IF(AND(P44&lt;[3]koment!$F$1,N44&gt;=[3]koment!$F$2),"Komentovat","")</f>
        <v/>
      </c>
      <c r="X44" s="406">
        <f t="shared" si="8"/>
        <v>2</v>
      </c>
      <c r="Y44" s="404">
        <f t="shared" si="4"/>
        <v>5600</v>
      </c>
      <c r="Z44" s="407" t="str">
        <f t="shared" si="5"/>
        <v>ORG 3062 - Komunikační obchvat Tuřan, I. etapa</v>
      </c>
      <c r="AA44" s="408" t="str">
        <f t="shared" si="6"/>
        <v>5600221230626121</v>
      </c>
      <c r="AB44" s="388"/>
      <c r="AC44" s="409">
        <f t="shared" si="7"/>
        <v>1708</v>
      </c>
      <c r="AD44" s="388"/>
      <c r="AE44" s="388"/>
      <c r="AF44" s="388"/>
    </row>
    <row r="45" spans="1:32" outlineLevel="2" x14ac:dyDescent="0.2">
      <c r="A45" s="391">
        <f t="shared" si="0"/>
        <v>43</v>
      </c>
      <c r="B45" s="392" t="s">
        <v>420</v>
      </c>
      <c r="C45" s="393" t="s">
        <v>425</v>
      </c>
      <c r="D45" s="394">
        <v>3062</v>
      </c>
      <c r="E45" s="393">
        <v>6130</v>
      </c>
      <c r="F45" s="395"/>
      <c r="G45" s="412" t="s">
        <v>466</v>
      </c>
      <c r="H45" s="394">
        <v>2008</v>
      </c>
      <c r="I45" s="394">
        <v>2020</v>
      </c>
      <c r="J45" s="396"/>
      <c r="K45" s="396"/>
      <c r="L45" s="397"/>
      <c r="M45" s="398"/>
      <c r="N45" s="398">
        <v>1708</v>
      </c>
      <c r="O45" s="396">
        <v>708</v>
      </c>
      <c r="P45" s="399">
        <f t="shared" si="2"/>
        <v>0.41451990632318503</v>
      </c>
      <c r="Q45" s="398"/>
      <c r="R45" s="400"/>
      <c r="S45" s="401"/>
      <c r="T45" s="402" t="s">
        <v>423</v>
      </c>
      <c r="U45" s="403"/>
      <c r="V45" s="404">
        <f t="shared" si="3"/>
        <v>-1708</v>
      </c>
      <c r="W45" s="405" t="str">
        <f>IF(AND(P45&lt;[3]koment!$F$1,N45&gt;=[3]koment!$F$2),"Komentovat","")</f>
        <v>Komentovat</v>
      </c>
      <c r="X45" s="406">
        <f t="shared" si="8"/>
        <v>3</v>
      </c>
      <c r="Y45" s="404">
        <f t="shared" si="4"/>
        <v>5600</v>
      </c>
      <c r="Z45" s="407" t="str">
        <f t="shared" si="5"/>
        <v>ORG 3062 - Komunikační obchvat Tuřan, I. etapa</v>
      </c>
      <c r="AA45" s="408" t="str">
        <f t="shared" si="6"/>
        <v>5600221230626130</v>
      </c>
      <c r="AB45" s="388"/>
      <c r="AC45" s="409">
        <f t="shared" si="7"/>
        <v>-1708</v>
      </c>
      <c r="AD45" s="388"/>
      <c r="AE45" s="388"/>
      <c r="AF45" s="388"/>
    </row>
    <row r="46" spans="1:32" outlineLevel="2" x14ac:dyDescent="0.2">
      <c r="A46" s="391">
        <f t="shared" si="0"/>
        <v>44</v>
      </c>
      <c r="B46" s="392" t="s">
        <v>420</v>
      </c>
      <c r="C46" s="393" t="s">
        <v>425</v>
      </c>
      <c r="D46" s="394">
        <v>3094</v>
      </c>
      <c r="E46" s="393">
        <v>6121</v>
      </c>
      <c r="F46" s="395"/>
      <c r="G46" s="412" t="s">
        <v>467</v>
      </c>
      <c r="H46" s="394">
        <v>2009</v>
      </c>
      <c r="I46" s="394">
        <v>2017</v>
      </c>
      <c r="J46" s="396">
        <v>96000</v>
      </c>
      <c r="K46" s="396"/>
      <c r="L46" s="397">
        <v>43535</v>
      </c>
      <c r="M46" s="398"/>
      <c r="N46" s="398">
        <v>1</v>
      </c>
      <c r="O46" s="396">
        <v>1</v>
      </c>
      <c r="P46" s="399">
        <f t="shared" si="2"/>
        <v>1</v>
      </c>
      <c r="Q46" s="398">
        <v>10</v>
      </c>
      <c r="R46" s="400"/>
      <c r="S46" s="401"/>
      <c r="T46" s="402" t="s">
        <v>423</v>
      </c>
      <c r="U46" s="403"/>
      <c r="V46" s="404">
        <f t="shared" si="3"/>
        <v>52454</v>
      </c>
      <c r="W46" s="405" t="str">
        <f>IF(AND(P46&lt;[3]koment!$F$1,N46&gt;=[3]koment!$F$2),"Komentovat","")</f>
        <v/>
      </c>
      <c r="X46" s="406">
        <f t="shared" si="8"/>
        <v>3</v>
      </c>
      <c r="Y46" s="404">
        <f t="shared" si="4"/>
        <v>5600</v>
      </c>
      <c r="Z46" s="407" t="str">
        <f t="shared" si="5"/>
        <v>ORG 3094 - Areál VUT v Brně CEITEC - komunikace</v>
      </c>
      <c r="AA46" s="408" t="str">
        <f t="shared" si="6"/>
        <v>5600221230946121</v>
      </c>
      <c r="AB46" s="388"/>
      <c r="AC46" s="409">
        <f t="shared" si="7"/>
        <v>52454</v>
      </c>
      <c r="AD46" s="388"/>
      <c r="AE46" s="388"/>
      <c r="AF46" s="388"/>
    </row>
    <row r="47" spans="1:32" outlineLevel="2" x14ac:dyDescent="0.2">
      <c r="A47" s="391">
        <f t="shared" si="0"/>
        <v>45</v>
      </c>
      <c r="B47" s="422" t="s">
        <v>420</v>
      </c>
      <c r="C47" s="393" t="s">
        <v>425</v>
      </c>
      <c r="D47" s="393">
        <v>3153</v>
      </c>
      <c r="E47" s="393">
        <v>6121</v>
      </c>
      <c r="F47" s="402" t="s">
        <v>447</v>
      </c>
      <c r="G47" s="412" t="s">
        <v>468</v>
      </c>
      <c r="H47" s="423">
        <v>2007</v>
      </c>
      <c r="I47" s="393">
        <v>2019</v>
      </c>
      <c r="J47" s="420">
        <v>371860</v>
      </c>
      <c r="K47" s="420"/>
      <c r="L47" s="418">
        <v>94070</v>
      </c>
      <c r="M47" s="421">
        <v>20000</v>
      </c>
      <c r="N47" s="421">
        <v>4000</v>
      </c>
      <c r="O47" s="420">
        <v>3919</v>
      </c>
      <c r="P47" s="399">
        <f t="shared" si="2"/>
        <v>0.97975000000000001</v>
      </c>
      <c r="Q47" s="421">
        <v>45000</v>
      </c>
      <c r="R47" s="400">
        <v>120000</v>
      </c>
      <c r="S47" s="401">
        <v>17790</v>
      </c>
      <c r="T47" s="402" t="s">
        <v>423</v>
      </c>
      <c r="U47" s="403"/>
      <c r="V47" s="404">
        <f t="shared" si="3"/>
        <v>91000</v>
      </c>
      <c r="W47" s="405" t="str">
        <f>IF(AND(P47&lt;[3]koment!$F$1,N47&gt;=[3]koment!$F$2),"Komentovat","")</f>
        <v/>
      </c>
      <c r="X47" s="406">
        <f t="shared" si="8"/>
        <v>3</v>
      </c>
      <c r="Y47" s="404">
        <f t="shared" si="4"/>
        <v>5600</v>
      </c>
      <c r="Z47" s="407" t="str">
        <f t="shared" si="5"/>
        <v>ORG 3153 - Silnice I/42, VMO Žabovřeská I (CRN 2,84 mld.)</v>
      </c>
      <c r="AA47" s="408" t="str">
        <f t="shared" si="6"/>
        <v>5600221231536121S</v>
      </c>
      <c r="AB47" s="388"/>
      <c r="AC47" s="409">
        <f t="shared" si="7"/>
        <v>91000</v>
      </c>
      <c r="AD47" s="388"/>
      <c r="AE47" s="388"/>
      <c r="AF47" s="388"/>
    </row>
    <row r="48" spans="1:32" outlineLevel="2" x14ac:dyDescent="0.2">
      <c r="A48" s="391">
        <f t="shared" si="0"/>
        <v>46</v>
      </c>
      <c r="B48" s="392" t="s">
        <v>420</v>
      </c>
      <c r="C48" s="393" t="s">
        <v>425</v>
      </c>
      <c r="D48" s="394">
        <v>3153</v>
      </c>
      <c r="E48" s="393">
        <v>6130</v>
      </c>
      <c r="F48" s="395" t="s">
        <v>447</v>
      </c>
      <c r="G48" s="412" t="s">
        <v>468</v>
      </c>
      <c r="H48" s="394">
        <v>2007</v>
      </c>
      <c r="I48" s="394">
        <v>2019</v>
      </c>
      <c r="J48" s="396"/>
      <c r="K48" s="396"/>
      <c r="L48" s="397"/>
      <c r="M48" s="398"/>
      <c r="N48" s="398">
        <v>500</v>
      </c>
      <c r="O48" s="396">
        <v>4</v>
      </c>
      <c r="P48" s="399">
        <f t="shared" si="2"/>
        <v>8.0000000000000002E-3</v>
      </c>
      <c r="Q48" s="398"/>
      <c r="R48" s="400"/>
      <c r="S48" s="401"/>
      <c r="T48" s="402" t="s">
        <v>423</v>
      </c>
      <c r="U48" s="403"/>
      <c r="V48" s="404">
        <f t="shared" si="3"/>
        <v>-500</v>
      </c>
      <c r="W48" s="405" t="str">
        <f>IF(AND(P48&lt;[3]koment!$F$1,N48&gt;=[3]koment!$F$2),"Komentovat","")</f>
        <v/>
      </c>
      <c r="X48" s="406">
        <f t="shared" si="8"/>
        <v>3</v>
      </c>
      <c r="Y48" s="404">
        <f t="shared" si="4"/>
        <v>5600</v>
      </c>
      <c r="Z48" s="407" t="str">
        <f t="shared" si="5"/>
        <v>ORG 3153 - Silnice I/42, VMO Žabovřeská I (CRN 2,84 mld.)</v>
      </c>
      <c r="AA48" s="408" t="str">
        <f t="shared" si="6"/>
        <v>5600221231536130S</v>
      </c>
      <c r="AB48" s="388"/>
      <c r="AC48" s="409">
        <f t="shared" si="7"/>
        <v>-500</v>
      </c>
      <c r="AD48" s="388"/>
      <c r="AE48" s="388"/>
      <c r="AF48" s="388"/>
    </row>
    <row r="49" spans="1:32" outlineLevel="2" x14ac:dyDescent="0.2">
      <c r="A49" s="391">
        <f t="shared" si="0"/>
        <v>47</v>
      </c>
      <c r="B49" s="392" t="s">
        <v>469</v>
      </c>
      <c r="C49" s="393" t="s">
        <v>425</v>
      </c>
      <c r="D49" s="394">
        <v>3348</v>
      </c>
      <c r="E49" s="393">
        <v>6121</v>
      </c>
      <c r="F49" s="395"/>
      <c r="G49" s="412" t="s">
        <v>470</v>
      </c>
      <c r="H49" s="394">
        <v>2010</v>
      </c>
      <c r="I49" s="394">
        <v>2022</v>
      </c>
      <c r="J49" s="396"/>
      <c r="K49" s="396"/>
      <c r="L49" s="397">
        <v>726</v>
      </c>
      <c r="M49" s="398">
        <v>8074</v>
      </c>
      <c r="N49" s="398">
        <v>8074</v>
      </c>
      <c r="O49" s="396">
        <v>7694</v>
      </c>
      <c r="P49" s="399">
        <f t="shared" si="2"/>
        <v>0.95293534803071589</v>
      </c>
      <c r="Q49" s="398"/>
      <c r="R49" s="400"/>
      <c r="S49" s="401"/>
      <c r="T49" s="402" t="s">
        <v>471</v>
      </c>
      <c r="U49" s="403"/>
      <c r="V49" s="404">
        <f t="shared" si="3"/>
        <v>-8800</v>
      </c>
      <c r="W49" s="405" t="str">
        <f>IF(AND(P49&lt;[3]koment!$F$1,N49&gt;=[3]koment!$F$2),"Komentovat","")</f>
        <v/>
      </c>
      <c r="X49" s="406">
        <f t="shared" si="8"/>
        <v>3</v>
      </c>
      <c r="Y49" s="404">
        <f t="shared" si="4"/>
        <v>4100</v>
      </c>
      <c r="Z49" s="407" t="str">
        <f t="shared" si="5"/>
        <v>ORG 3348 - EUROPOINT Brno - městská infrastruktura</v>
      </c>
      <c r="AA49" s="408" t="str">
        <f t="shared" si="6"/>
        <v>4100221233486121</v>
      </c>
      <c r="AB49" s="388"/>
      <c r="AC49" s="409">
        <f t="shared" si="7"/>
        <v>-8800</v>
      </c>
      <c r="AD49" s="388"/>
      <c r="AE49" s="388"/>
      <c r="AF49" s="388"/>
    </row>
    <row r="50" spans="1:32" outlineLevel="2" x14ac:dyDescent="0.2">
      <c r="A50" s="391">
        <f t="shared" si="0"/>
        <v>48</v>
      </c>
      <c r="B50" s="422" t="s">
        <v>420</v>
      </c>
      <c r="C50" s="393" t="s">
        <v>425</v>
      </c>
      <c r="D50" s="393">
        <v>3348</v>
      </c>
      <c r="E50" s="393">
        <v>6121</v>
      </c>
      <c r="F50" s="402"/>
      <c r="G50" s="412" t="s">
        <v>470</v>
      </c>
      <c r="H50" s="423">
        <v>2010</v>
      </c>
      <c r="I50" s="423">
        <v>2022</v>
      </c>
      <c r="J50" s="420">
        <v>3000000</v>
      </c>
      <c r="K50" s="420"/>
      <c r="L50" s="418">
        <v>50365</v>
      </c>
      <c r="M50" s="421">
        <v>10000</v>
      </c>
      <c r="N50" s="421">
        <v>2703</v>
      </c>
      <c r="O50" s="420">
        <v>374</v>
      </c>
      <c r="P50" s="399">
        <f t="shared" si="2"/>
        <v>0.13836477987421383</v>
      </c>
      <c r="Q50" s="421">
        <v>10000</v>
      </c>
      <c r="R50" s="400"/>
      <c r="S50" s="401">
        <v>2893635</v>
      </c>
      <c r="T50" s="402" t="s">
        <v>423</v>
      </c>
      <c r="U50" s="403"/>
      <c r="V50" s="404">
        <f t="shared" si="3"/>
        <v>43297</v>
      </c>
      <c r="W50" s="405" t="str">
        <f>IF(AND(P50&lt;[3]koment!$F$1,N50&gt;=[3]koment!$F$2),"Komentovat","")</f>
        <v>Komentovat</v>
      </c>
      <c r="X50" s="406">
        <f t="shared" si="8"/>
        <v>4</v>
      </c>
      <c r="Y50" s="404">
        <f t="shared" si="4"/>
        <v>5600</v>
      </c>
      <c r="Z50" s="407" t="str">
        <f t="shared" si="5"/>
        <v>ORG 3348 - EUROPOINT Brno - městská infrastruktura</v>
      </c>
      <c r="AA50" s="408" t="str">
        <f t="shared" si="6"/>
        <v>5600221233486121</v>
      </c>
      <c r="AB50" s="388"/>
      <c r="AC50" s="409">
        <f t="shared" si="7"/>
        <v>43297</v>
      </c>
      <c r="AD50" s="388"/>
      <c r="AE50" s="388"/>
      <c r="AF50" s="388"/>
    </row>
    <row r="51" spans="1:32" outlineLevel="2" x14ac:dyDescent="0.2">
      <c r="A51" s="391">
        <f t="shared" si="0"/>
        <v>49</v>
      </c>
      <c r="B51" s="392" t="s">
        <v>420</v>
      </c>
      <c r="C51" s="393" t="s">
        <v>425</v>
      </c>
      <c r="D51" s="394">
        <v>3348</v>
      </c>
      <c r="E51" s="393">
        <v>6130</v>
      </c>
      <c r="F51" s="395"/>
      <c r="G51" s="394" t="s">
        <v>470</v>
      </c>
      <c r="H51" s="394">
        <v>2010</v>
      </c>
      <c r="I51" s="394">
        <v>2022</v>
      </c>
      <c r="J51" s="396"/>
      <c r="K51" s="396"/>
      <c r="L51" s="397"/>
      <c r="M51" s="398"/>
      <c r="N51" s="398">
        <v>1916</v>
      </c>
      <c r="O51" s="396">
        <v>1915</v>
      </c>
      <c r="P51" s="399">
        <f t="shared" si="2"/>
        <v>0.99947807933194155</v>
      </c>
      <c r="Q51" s="398"/>
      <c r="R51" s="400"/>
      <c r="S51" s="401"/>
      <c r="T51" s="402" t="s">
        <v>423</v>
      </c>
      <c r="U51" s="403"/>
      <c r="V51" s="404">
        <f t="shared" si="3"/>
        <v>-1916</v>
      </c>
      <c r="W51" s="405" t="str">
        <f>IF(AND(P51&lt;[3]koment!$F$1,N51&gt;=[3]koment!$F$2),"Komentovat","")</f>
        <v/>
      </c>
      <c r="X51" s="406">
        <f t="shared" si="8"/>
        <v>4</v>
      </c>
      <c r="Y51" s="404">
        <f t="shared" si="4"/>
        <v>5600</v>
      </c>
      <c r="Z51" s="407" t="str">
        <f t="shared" si="5"/>
        <v>ORG 3348 - EUROPOINT Brno - městská infrastruktura</v>
      </c>
      <c r="AA51" s="408" t="str">
        <f t="shared" si="6"/>
        <v>5600221233486130</v>
      </c>
      <c r="AB51" s="388"/>
      <c r="AC51" s="409">
        <f t="shared" si="7"/>
        <v>-1916</v>
      </c>
      <c r="AD51" s="388"/>
      <c r="AE51" s="388"/>
      <c r="AF51" s="388"/>
    </row>
    <row r="52" spans="1:32" outlineLevel="2" x14ac:dyDescent="0.2">
      <c r="A52" s="391">
        <f t="shared" si="0"/>
        <v>50</v>
      </c>
      <c r="B52" s="422" t="s">
        <v>420</v>
      </c>
      <c r="C52" s="393" t="s">
        <v>425</v>
      </c>
      <c r="D52" s="393">
        <v>4220</v>
      </c>
      <c r="E52" s="393">
        <v>6121</v>
      </c>
      <c r="F52" s="402"/>
      <c r="G52" s="394" t="s">
        <v>472</v>
      </c>
      <c r="H52" s="423">
        <v>1999</v>
      </c>
      <c r="I52" s="393">
        <v>2017</v>
      </c>
      <c r="J52" s="420">
        <v>688583</v>
      </c>
      <c r="K52" s="420"/>
      <c r="L52" s="418">
        <v>686450</v>
      </c>
      <c r="M52" s="421">
        <v>1944</v>
      </c>
      <c r="N52" s="421">
        <v>1</v>
      </c>
      <c r="O52" s="420">
        <v>0</v>
      </c>
      <c r="P52" s="399">
        <f t="shared" si="2"/>
        <v>0</v>
      </c>
      <c r="Q52" s="421">
        <v>2133</v>
      </c>
      <c r="R52" s="400"/>
      <c r="S52" s="401"/>
      <c r="T52" s="402" t="s">
        <v>423</v>
      </c>
      <c r="U52" s="403"/>
      <c r="V52" s="404">
        <f t="shared" si="3"/>
        <v>-1</v>
      </c>
      <c r="W52" s="405" t="str">
        <f>IF(AND(P52&lt;[3]koment!$F$1,N52&gt;=[3]koment!$F$2),"Komentovat","")</f>
        <v/>
      </c>
      <c r="X52" s="406">
        <f t="shared" si="8"/>
        <v>4</v>
      </c>
      <c r="Y52" s="404">
        <f t="shared" si="4"/>
        <v>5600</v>
      </c>
      <c r="Z52" s="407" t="str">
        <f t="shared" si="5"/>
        <v>ORG 4220 - VMO Dobrovského (CRN 7,66 mld.)</v>
      </c>
      <c r="AA52" s="408" t="str">
        <f t="shared" si="6"/>
        <v>5600221242206121</v>
      </c>
      <c r="AB52" s="388"/>
      <c r="AC52" s="409">
        <f t="shared" si="7"/>
        <v>-1</v>
      </c>
      <c r="AD52" s="388"/>
      <c r="AE52" s="388"/>
      <c r="AF52" s="388"/>
    </row>
    <row r="53" spans="1:32" outlineLevel="2" x14ac:dyDescent="0.2">
      <c r="A53" s="391">
        <f t="shared" si="0"/>
        <v>51</v>
      </c>
      <c r="B53" s="392" t="s">
        <v>420</v>
      </c>
      <c r="C53" s="393" t="s">
        <v>425</v>
      </c>
      <c r="D53" s="394">
        <v>4267</v>
      </c>
      <c r="E53" s="393">
        <v>6121</v>
      </c>
      <c r="F53" s="395"/>
      <c r="G53" s="394" t="s">
        <v>473</v>
      </c>
      <c r="H53" s="394">
        <v>2000</v>
      </c>
      <c r="I53" s="394">
        <v>2020</v>
      </c>
      <c r="J53" s="396">
        <v>929659</v>
      </c>
      <c r="K53" s="396"/>
      <c r="L53" s="418">
        <v>400608</v>
      </c>
      <c r="M53" s="398">
        <v>7000</v>
      </c>
      <c r="N53" s="398">
        <v>500</v>
      </c>
      <c r="O53" s="396">
        <v>120</v>
      </c>
      <c r="P53" s="399">
        <f t="shared" si="2"/>
        <v>0.24</v>
      </c>
      <c r="Q53" s="398">
        <v>20000</v>
      </c>
      <c r="R53" s="400">
        <v>30000</v>
      </c>
      <c r="S53" s="401">
        <v>478051</v>
      </c>
      <c r="T53" s="402" t="s">
        <v>423</v>
      </c>
      <c r="U53" s="403"/>
      <c r="V53" s="404">
        <f t="shared" si="3"/>
        <v>500</v>
      </c>
      <c r="W53" s="405" t="str">
        <f>IF(AND(P53&lt;[3]koment!$F$1,N53&gt;=[3]koment!$F$2),"Komentovat","")</f>
        <v/>
      </c>
      <c r="X53" s="406">
        <f t="shared" si="8"/>
        <v>4</v>
      </c>
      <c r="Y53" s="404">
        <f t="shared" si="4"/>
        <v>5600</v>
      </c>
      <c r="Z53" s="407" t="str">
        <f t="shared" si="5"/>
        <v>ORG 4267 - Komplexní regenerace historického jádra</v>
      </c>
      <c r="AA53" s="408" t="str">
        <f t="shared" si="6"/>
        <v>5600221242676121</v>
      </c>
      <c r="AB53" s="388"/>
      <c r="AC53" s="409">
        <f t="shared" si="7"/>
        <v>500</v>
      </c>
      <c r="AD53" s="388"/>
      <c r="AE53" s="388"/>
      <c r="AF53" s="388"/>
    </row>
    <row r="54" spans="1:32" outlineLevel="2" x14ac:dyDescent="0.2">
      <c r="A54" s="391">
        <f t="shared" si="0"/>
        <v>52</v>
      </c>
      <c r="B54" s="422" t="s">
        <v>420</v>
      </c>
      <c r="C54" s="393" t="s">
        <v>425</v>
      </c>
      <c r="D54" s="393">
        <v>4276</v>
      </c>
      <c r="E54" s="393">
        <v>6121</v>
      </c>
      <c r="F54" s="402" t="s">
        <v>447</v>
      </c>
      <c r="G54" s="412" t="s">
        <v>474</v>
      </c>
      <c r="H54" s="423">
        <v>2001</v>
      </c>
      <c r="I54" s="423">
        <v>2020</v>
      </c>
      <c r="J54" s="420">
        <v>2171000</v>
      </c>
      <c r="K54" s="420"/>
      <c r="L54" s="418">
        <v>610354</v>
      </c>
      <c r="M54" s="421">
        <v>50000</v>
      </c>
      <c r="N54" s="421">
        <v>64425</v>
      </c>
      <c r="O54" s="420">
        <v>55972</v>
      </c>
      <c r="P54" s="399">
        <f t="shared" si="2"/>
        <v>0.86879317035312376</v>
      </c>
      <c r="Q54" s="421">
        <v>30000</v>
      </c>
      <c r="R54" s="400">
        <v>600000</v>
      </c>
      <c r="S54" s="401">
        <v>585646</v>
      </c>
      <c r="T54" s="402" t="s">
        <v>423</v>
      </c>
      <c r="U54" s="403"/>
      <c r="V54" s="404">
        <f t="shared" si="3"/>
        <v>280575</v>
      </c>
      <c r="W54" s="405" t="str">
        <f>IF(AND(P54&lt;[3]koment!$F$1,N54&gt;=[3]koment!$F$2),"Komentovat","")</f>
        <v/>
      </c>
      <c r="X54" s="406">
        <f t="shared" si="8"/>
        <v>4</v>
      </c>
      <c r="Y54" s="404">
        <f t="shared" si="4"/>
        <v>5600</v>
      </c>
      <c r="Z54" s="407" t="str">
        <f t="shared" si="5"/>
        <v>ORG 4276 - Tramvaj Plotní - soubor staveb</v>
      </c>
      <c r="AA54" s="408" t="str">
        <f t="shared" si="6"/>
        <v>5600221242766121S</v>
      </c>
      <c r="AB54" s="388"/>
      <c r="AC54" s="409">
        <f t="shared" si="7"/>
        <v>280575</v>
      </c>
      <c r="AD54" s="388"/>
      <c r="AE54" s="388"/>
      <c r="AF54" s="388"/>
    </row>
    <row r="55" spans="1:32" outlineLevel="2" x14ac:dyDescent="0.2">
      <c r="A55" s="391">
        <f t="shared" si="0"/>
        <v>53</v>
      </c>
      <c r="B55" s="392" t="s">
        <v>420</v>
      </c>
      <c r="C55" s="393" t="s">
        <v>425</v>
      </c>
      <c r="D55" s="394">
        <v>4276</v>
      </c>
      <c r="E55" s="393">
        <v>6130</v>
      </c>
      <c r="F55" s="395" t="s">
        <v>447</v>
      </c>
      <c r="G55" s="412" t="s">
        <v>474</v>
      </c>
      <c r="H55" s="394">
        <v>2001</v>
      </c>
      <c r="I55" s="394">
        <v>2020</v>
      </c>
      <c r="J55" s="396"/>
      <c r="K55" s="396"/>
      <c r="L55" s="397"/>
      <c r="M55" s="398"/>
      <c r="N55" s="398">
        <v>17415</v>
      </c>
      <c r="O55" s="396">
        <v>17414</v>
      </c>
      <c r="P55" s="399">
        <f t="shared" si="2"/>
        <v>0.99994257823715194</v>
      </c>
      <c r="Q55" s="398"/>
      <c r="R55" s="400"/>
      <c r="S55" s="401"/>
      <c r="T55" s="402" t="s">
        <v>423</v>
      </c>
      <c r="U55" s="403"/>
      <c r="V55" s="404">
        <f t="shared" si="3"/>
        <v>-17415</v>
      </c>
      <c r="W55" s="405" t="str">
        <f>IF(AND(P55&lt;[3]koment!$F$1,N55&gt;=[3]koment!$F$2),"Komentovat","")</f>
        <v/>
      </c>
      <c r="X55" s="406">
        <f t="shared" si="8"/>
        <v>4</v>
      </c>
      <c r="Y55" s="404">
        <f t="shared" si="4"/>
        <v>5600</v>
      </c>
      <c r="Z55" s="407" t="str">
        <f t="shared" si="5"/>
        <v>ORG 4276 - Tramvaj Plotní - soubor staveb</v>
      </c>
      <c r="AA55" s="408" t="str">
        <f t="shared" si="6"/>
        <v>5600221242766130S</v>
      </c>
      <c r="AB55" s="388"/>
      <c r="AC55" s="409">
        <f t="shared" si="7"/>
        <v>-17415</v>
      </c>
      <c r="AD55" s="388"/>
      <c r="AE55" s="388"/>
      <c r="AF55" s="388"/>
    </row>
    <row r="56" spans="1:32" outlineLevel="2" x14ac:dyDescent="0.2">
      <c r="A56" s="391">
        <f t="shared" si="0"/>
        <v>54</v>
      </c>
      <c r="B56" s="422" t="s">
        <v>420</v>
      </c>
      <c r="C56" s="393" t="s">
        <v>425</v>
      </c>
      <c r="D56" s="393">
        <v>4280</v>
      </c>
      <c r="E56" s="393">
        <v>6121</v>
      </c>
      <c r="F56" s="402" t="s">
        <v>447</v>
      </c>
      <c r="G56" s="412" t="s">
        <v>475</v>
      </c>
      <c r="H56" s="423">
        <v>2001</v>
      </c>
      <c r="I56" s="393">
        <v>2019</v>
      </c>
      <c r="J56" s="420">
        <v>188649</v>
      </c>
      <c r="K56" s="420"/>
      <c r="L56" s="418">
        <v>39980</v>
      </c>
      <c r="M56" s="421">
        <v>40000</v>
      </c>
      <c r="N56" s="421">
        <v>21562</v>
      </c>
      <c r="O56" s="420">
        <v>21162</v>
      </c>
      <c r="P56" s="399">
        <f t="shared" si="2"/>
        <v>0.98144884519061315</v>
      </c>
      <c r="Q56" s="421">
        <v>45000</v>
      </c>
      <c r="R56" s="400">
        <v>20000</v>
      </c>
      <c r="S56" s="401">
        <v>8669</v>
      </c>
      <c r="T56" s="402" t="s">
        <v>423</v>
      </c>
      <c r="U56" s="403"/>
      <c r="V56" s="404">
        <f t="shared" si="3"/>
        <v>53438</v>
      </c>
      <c r="W56" s="405" t="str">
        <f>IF(AND(P56&lt;[3]koment!$F$1,N56&gt;=[3]koment!$F$2),"Komentovat","")</f>
        <v/>
      </c>
      <c r="X56" s="406">
        <f t="shared" si="8"/>
        <v>4</v>
      </c>
      <c r="Y56" s="404">
        <f t="shared" si="4"/>
        <v>5600</v>
      </c>
      <c r="Z56" s="407" t="str">
        <f t="shared" si="5"/>
        <v>ORG 4280 - VMO Tomkovo náměstí (CRN 1,27 mld.)</v>
      </c>
      <c r="AA56" s="408" t="str">
        <f t="shared" si="6"/>
        <v>5600221242806121S</v>
      </c>
      <c r="AB56" s="388"/>
      <c r="AC56" s="409">
        <f t="shared" si="7"/>
        <v>53438</v>
      </c>
      <c r="AD56" s="388"/>
      <c r="AE56" s="388"/>
      <c r="AF56" s="388"/>
    </row>
    <row r="57" spans="1:32" outlineLevel="2" x14ac:dyDescent="0.2">
      <c r="A57" s="391">
        <f t="shared" si="0"/>
        <v>55</v>
      </c>
      <c r="B57" s="392" t="s">
        <v>420</v>
      </c>
      <c r="C57" s="393" t="s">
        <v>425</v>
      </c>
      <c r="D57" s="394">
        <v>4280</v>
      </c>
      <c r="E57" s="393">
        <v>6130</v>
      </c>
      <c r="F57" s="395" t="s">
        <v>447</v>
      </c>
      <c r="G57" s="394" t="s">
        <v>475</v>
      </c>
      <c r="H57" s="394">
        <v>2001</v>
      </c>
      <c r="I57" s="394">
        <v>2019</v>
      </c>
      <c r="J57" s="396"/>
      <c r="K57" s="396"/>
      <c r="L57" s="397"/>
      <c r="M57" s="398"/>
      <c r="N57" s="398">
        <v>8438</v>
      </c>
      <c r="O57" s="396">
        <v>4970</v>
      </c>
      <c r="P57" s="399">
        <f t="shared" si="2"/>
        <v>0.58900213320692107</v>
      </c>
      <c r="Q57" s="398"/>
      <c r="R57" s="400"/>
      <c r="S57" s="401"/>
      <c r="T57" s="402" t="s">
        <v>423</v>
      </c>
      <c r="U57" s="403"/>
      <c r="V57" s="404">
        <f t="shared" si="3"/>
        <v>-8438</v>
      </c>
      <c r="W57" s="405" t="str">
        <f>IF(AND(P57&lt;[3]koment!$F$1,N57&gt;=[3]koment!$F$2),"Komentovat","")</f>
        <v>Komentovat</v>
      </c>
      <c r="X57" s="406">
        <f t="shared" si="8"/>
        <v>5</v>
      </c>
      <c r="Y57" s="404">
        <f t="shared" si="4"/>
        <v>5600</v>
      </c>
      <c r="Z57" s="407" t="str">
        <f t="shared" si="5"/>
        <v>ORG 4280 - VMO Tomkovo náměstí (CRN 1,27 mld.)</v>
      </c>
      <c r="AA57" s="408" t="str">
        <f t="shared" si="6"/>
        <v>5600221242806130S</v>
      </c>
      <c r="AB57" s="388"/>
      <c r="AC57" s="409">
        <f t="shared" si="7"/>
        <v>-8438</v>
      </c>
      <c r="AD57" s="388"/>
      <c r="AE57" s="388"/>
      <c r="AF57" s="388"/>
    </row>
    <row r="58" spans="1:32" outlineLevel="2" x14ac:dyDescent="0.2">
      <c r="A58" s="391">
        <f t="shared" si="0"/>
        <v>56</v>
      </c>
      <c r="B58" s="422" t="s">
        <v>420</v>
      </c>
      <c r="C58" s="393" t="s">
        <v>425</v>
      </c>
      <c r="D58" s="393">
        <v>4281</v>
      </c>
      <c r="E58" s="393">
        <v>6121</v>
      </c>
      <c r="F58" s="402" t="s">
        <v>447</v>
      </c>
      <c r="G58" s="412" t="s">
        <v>476</v>
      </c>
      <c r="H58" s="423">
        <v>2001</v>
      </c>
      <c r="I58" s="393">
        <v>2019</v>
      </c>
      <c r="J58" s="420">
        <f>91681+3041</f>
        <v>94722</v>
      </c>
      <c r="K58" s="420"/>
      <c r="L58" s="418">
        <v>27722</v>
      </c>
      <c r="M58" s="421">
        <v>27000</v>
      </c>
      <c r="N58" s="421">
        <v>24804</v>
      </c>
      <c r="O58" s="420">
        <v>18214</v>
      </c>
      <c r="P58" s="399">
        <f t="shared" si="2"/>
        <v>0.73431704563780031</v>
      </c>
      <c r="Q58" s="421">
        <v>20000</v>
      </c>
      <c r="R58" s="400">
        <v>10000</v>
      </c>
      <c r="S58" s="401"/>
      <c r="T58" s="402" t="s">
        <v>423</v>
      </c>
      <c r="U58" s="403"/>
      <c r="V58" s="404">
        <f t="shared" si="3"/>
        <v>12196</v>
      </c>
      <c r="W58" s="405" t="str">
        <f>IF(AND(P58&lt;[3]koment!$F$1,N58&gt;=[3]koment!$F$2),"Komentovat","")</f>
        <v>Komentovat</v>
      </c>
      <c r="X58" s="406">
        <f t="shared" si="8"/>
        <v>6</v>
      </c>
      <c r="Y58" s="404">
        <f t="shared" si="4"/>
        <v>5600</v>
      </c>
      <c r="Z58" s="407" t="str">
        <f t="shared" si="5"/>
        <v>ORG 4281 - VMO Rokytova (CRN 1,54 mld.)</v>
      </c>
      <c r="AA58" s="408" t="str">
        <f t="shared" si="6"/>
        <v>5600221242816121S</v>
      </c>
      <c r="AB58" s="388"/>
      <c r="AC58" s="409">
        <f t="shared" si="7"/>
        <v>12196</v>
      </c>
      <c r="AD58" s="388"/>
      <c r="AE58" s="388"/>
      <c r="AF58" s="388"/>
    </row>
    <row r="59" spans="1:32" outlineLevel="2" x14ac:dyDescent="0.2">
      <c r="A59" s="391">
        <f t="shared" si="0"/>
        <v>57</v>
      </c>
      <c r="B59" s="392" t="s">
        <v>420</v>
      </c>
      <c r="C59" s="393" t="s">
        <v>425</v>
      </c>
      <c r="D59" s="394">
        <v>4281</v>
      </c>
      <c r="E59" s="393">
        <v>6130</v>
      </c>
      <c r="F59" s="395" t="s">
        <v>447</v>
      </c>
      <c r="G59" s="412" t="s">
        <v>476</v>
      </c>
      <c r="H59" s="394">
        <v>2001</v>
      </c>
      <c r="I59" s="394">
        <v>2019</v>
      </c>
      <c r="J59" s="396"/>
      <c r="K59" s="396"/>
      <c r="L59" s="397"/>
      <c r="M59" s="398"/>
      <c r="N59" s="398">
        <v>3196</v>
      </c>
      <c r="O59" s="396">
        <v>2054</v>
      </c>
      <c r="P59" s="399">
        <f t="shared" si="2"/>
        <v>0.64267834793491863</v>
      </c>
      <c r="Q59" s="398"/>
      <c r="R59" s="400"/>
      <c r="S59" s="401"/>
      <c r="T59" s="402" t="s">
        <v>423</v>
      </c>
      <c r="U59" s="403"/>
      <c r="V59" s="404">
        <f t="shared" si="3"/>
        <v>-3196</v>
      </c>
      <c r="W59" s="405" t="str">
        <f>IF(AND(P59&lt;[3]koment!$F$1,N59&gt;=[3]koment!$F$2),"Komentovat","")</f>
        <v>Komentovat</v>
      </c>
      <c r="X59" s="406">
        <f t="shared" si="8"/>
        <v>7</v>
      </c>
      <c r="Y59" s="404">
        <f t="shared" si="4"/>
        <v>5600</v>
      </c>
      <c r="Z59" s="407" t="str">
        <f t="shared" si="5"/>
        <v>ORG 4281 - VMO Rokytova (CRN 1,54 mld.)</v>
      </c>
      <c r="AA59" s="408" t="str">
        <f t="shared" si="6"/>
        <v>5600221242816130S</v>
      </c>
      <c r="AB59" s="388"/>
      <c r="AC59" s="409">
        <f t="shared" si="7"/>
        <v>-3196</v>
      </c>
      <c r="AD59" s="388"/>
      <c r="AE59" s="388"/>
      <c r="AF59" s="388"/>
    </row>
    <row r="60" spans="1:32" outlineLevel="2" x14ac:dyDescent="0.2">
      <c r="A60" s="391">
        <f t="shared" si="0"/>
        <v>58</v>
      </c>
      <c r="B60" s="422" t="s">
        <v>420</v>
      </c>
      <c r="C60" s="393" t="s">
        <v>425</v>
      </c>
      <c r="D60" s="393">
        <v>4554</v>
      </c>
      <c r="E60" s="393">
        <v>6121</v>
      </c>
      <c r="F60" s="402"/>
      <c r="G60" s="412" t="s">
        <v>477</v>
      </c>
      <c r="H60" s="423">
        <v>2002</v>
      </c>
      <c r="I60" s="393">
        <v>2017</v>
      </c>
      <c r="J60" s="420">
        <v>55400</v>
      </c>
      <c r="K60" s="420"/>
      <c r="L60" s="418">
        <v>37029</v>
      </c>
      <c r="M60" s="421">
        <v>400</v>
      </c>
      <c r="N60" s="421">
        <f>400+700</f>
        <v>1100</v>
      </c>
      <c r="O60" s="420">
        <v>994</v>
      </c>
      <c r="P60" s="399">
        <f t="shared" si="2"/>
        <v>0.90363636363636368</v>
      </c>
      <c r="Q60" s="421">
        <v>100</v>
      </c>
      <c r="R60" s="400"/>
      <c r="S60" s="401"/>
      <c r="T60" s="402" t="s">
        <v>423</v>
      </c>
      <c r="U60" s="403"/>
      <c r="V60" s="404">
        <f t="shared" si="3"/>
        <v>17171</v>
      </c>
      <c r="W60" s="405" t="str">
        <f>IF(AND(P60&lt;[3]koment!$F$1,N60&gt;=[3]koment!$F$2),"Komentovat","")</f>
        <v/>
      </c>
      <c r="X60" s="406">
        <f t="shared" si="8"/>
        <v>7</v>
      </c>
      <c r="Y60" s="404">
        <f t="shared" si="4"/>
        <v>5600</v>
      </c>
      <c r="Z60" s="407" t="str">
        <f t="shared" si="5"/>
        <v>ORG 4554 - Rekonstrukce Vaňkova náměstí</v>
      </c>
      <c r="AA60" s="408" t="str">
        <f t="shared" si="6"/>
        <v>5600221245546121</v>
      </c>
      <c r="AB60" s="388"/>
      <c r="AC60" s="409">
        <f t="shared" si="7"/>
        <v>17171</v>
      </c>
      <c r="AD60" s="388"/>
      <c r="AE60" s="388"/>
      <c r="AF60" s="388"/>
    </row>
    <row r="61" spans="1:32" outlineLevel="2" x14ac:dyDescent="0.2">
      <c r="A61" s="391">
        <f t="shared" si="0"/>
        <v>59</v>
      </c>
      <c r="B61" s="422" t="s">
        <v>420</v>
      </c>
      <c r="C61" s="393" t="s">
        <v>425</v>
      </c>
      <c r="D61" s="393">
        <v>4556</v>
      </c>
      <c r="E61" s="393">
        <v>6121</v>
      </c>
      <c r="F61" s="402"/>
      <c r="G61" s="412" t="s">
        <v>478</v>
      </c>
      <c r="H61" s="423">
        <v>2002</v>
      </c>
      <c r="I61" s="393">
        <v>2017</v>
      </c>
      <c r="J61" s="420">
        <v>185000</v>
      </c>
      <c r="K61" s="420"/>
      <c r="L61" s="418">
        <v>130253</v>
      </c>
      <c r="M61" s="421">
        <v>200</v>
      </c>
      <c r="N61" s="421">
        <v>200</v>
      </c>
      <c r="O61" s="420">
        <v>0</v>
      </c>
      <c r="P61" s="399">
        <f t="shared" si="2"/>
        <v>0</v>
      </c>
      <c r="Q61" s="421">
        <v>200</v>
      </c>
      <c r="R61" s="400"/>
      <c r="S61" s="401"/>
      <c r="T61" s="402" t="s">
        <v>423</v>
      </c>
      <c r="U61" s="403"/>
      <c r="V61" s="404">
        <f t="shared" si="3"/>
        <v>54347</v>
      </c>
      <c r="W61" s="405" t="str">
        <f>IF(AND(P61&lt;[3]koment!$F$1,N61&gt;=[3]koment!$F$2),"Komentovat","")</f>
        <v/>
      </c>
      <c r="X61" s="406">
        <f t="shared" si="8"/>
        <v>7</v>
      </c>
      <c r="Y61" s="404">
        <f t="shared" si="4"/>
        <v>5600</v>
      </c>
      <c r="Z61" s="407" t="str">
        <f t="shared" si="5"/>
        <v>ORG 4556 - Rekonstrukce komunikací Tuřany II.</v>
      </c>
      <c r="AA61" s="408" t="str">
        <f t="shared" si="6"/>
        <v>5600221245566121</v>
      </c>
      <c r="AB61" s="388"/>
      <c r="AC61" s="409">
        <f t="shared" si="7"/>
        <v>54347</v>
      </c>
      <c r="AD61" s="388"/>
      <c r="AE61" s="388"/>
      <c r="AF61" s="388"/>
    </row>
    <row r="62" spans="1:32" outlineLevel="1" x14ac:dyDescent="0.2">
      <c r="A62" s="391">
        <f t="shared" si="0"/>
        <v>60</v>
      </c>
      <c r="B62" s="422"/>
      <c r="C62" s="424" t="s">
        <v>479</v>
      </c>
      <c r="D62" s="393"/>
      <c r="E62" s="393"/>
      <c r="F62" s="402"/>
      <c r="G62" s="412"/>
      <c r="H62" s="423"/>
      <c r="I62" s="393"/>
      <c r="J62" s="420">
        <f t="shared" ref="J62:O62" si="9">SUBTOTAL(9,J5:J61)</f>
        <v>12207291</v>
      </c>
      <c r="K62" s="420">
        <f t="shared" si="9"/>
        <v>324</v>
      </c>
      <c r="L62" s="418">
        <f t="shared" si="9"/>
        <v>2263169</v>
      </c>
      <c r="M62" s="421">
        <f t="shared" si="9"/>
        <v>307664</v>
      </c>
      <c r="N62" s="421">
        <f t="shared" si="9"/>
        <v>271467</v>
      </c>
      <c r="O62" s="420">
        <f t="shared" si="9"/>
        <v>236664</v>
      </c>
      <c r="P62" s="399">
        <f t="shared" si="2"/>
        <v>0.8717965719590226</v>
      </c>
      <c r="Q62" s="421">
        <f>SUBTOTAL(9,Q5:Q61)</f>
        <v>394721</v>
      </c>
      <c r="R62" s="400">
        <f>SUBTOTAL(9,R5:R61)</f>
        <v>1201590</v>
      </c>
      <c r="S62" s="401">
        <f>SUBTOTAL(9,S5:S61)</f>
        <v>7450485</v>
      </c>
      <c r="T62" s="402"/>
      <c r="U62" s="403"/>
      <c r="V62" s="404"/>
      <c r="W62" s="405"/>
      <c r="X62" s="406"/>
      <c r="Y62" s="404" t="str">
        <f>IF($V62=0," ",IF(LEN($B62)=4,$B62*1,$B62))</f>
        <v xml:space="preserve"> </v>
      </c>
      <c r="Z62" s="407">
        <f>IF($Y62=" ",0,"ORG "&amp;$D62&amp;" - "&amp;$G62)</f>
        <v>0</v>
      </c>
      <c r="AA62" s="408" t="str">
        <f>$B62&amp;LEFT($C62,4)&amp;$D62&amp;$E62&amp;$F62</f>
        <v>Celk</v>
      </c>
      <c r="AB62" s="388"/>
      <c r="AC62" s="409"/>
      <c r="AD62" s="388"/>
      <c r="AE62" s="388"/>
      <c r="AF62" s="388"/>
    </row>
    <row r="63" spans="1:32" outlineLevel="2" x14ac:dyDescent="0.2">
      <c r="A63" s="391">
        <f t="shared" si="0"/>
        <v>61</v>
      </c>
      <c r="B63" s="392" t="s">
        <v>459</v>
      </c>
      <c r="C63" s="393" t="s">
        <v>480</v>
      </c>
      <c r="D63" s="394">
        <v>2647</v>
      </c>
      <c r="E63" s="393">
        <v>6122</v>
      </c>
      <c r="F63" s="395"/>
      <c r="G63" s="412" t="s">
        <v>481</v>
      </c>
      <c r="H63" s="394">
        <v>2016</v>
      </c>
      <c r="I63" s="394">
        <v>2017</v>
      </c>
      <c r="J63" s="396">
        <v>6000</v>
      </c>
      <c r="K63" s="396"/>
      <c r="L63" s="397"/>
      <c r="M63" s="398"/>
      <c r="N63" s="398">
        <v>3000</v>
      </c>
      <c r="O63" s="396">
        <v>3000</v>
      </c>
      <c r="P63" s="399">
        <f t="shared" si="2"/>
        <v>1</v>
      </c>
      <c r="Q63" s="398">
        <v>3000</v>
      </c>
      <c r="R63" s="400"/>
      <c r="S63" s="401"/>
      <c r="T63" s="402" t="s">
        <v>461</v>
      </c>
      <c r="U63" s="403"/>
      <c r="V63" s="404">
        <f t="shared" si="3"/>
        <v>0</v>
      </c>
      <c r="W63" s="405" t="str">
        <f>IF(AND(P63&lt;[3]koment!$F$1,N63&gt;=[3]koment!$F$2),"Komentovat","")</f>
        <v/>
      </c>
      <c r="X63" s="406">
        <f>IF(W63="Komentovat",X61+1,X61)</f>
        <v>7</v>
      </c>
      <c r="Y63" s="404" t="str">
        <f t="shared" si="4"/>
        <v xml:space="preserve"> </v>
      </c>
      <c r="Z63" s="407">
        <f t="shared" si="5"/>
        <v>0</v>
      </c>
      <c r="AA63" s="408" t="str">
        <f t="shared" si="6"/>
        <v>5400221926476122</v>
      </c>
      <c r="AB63" s="388"/>
      <c r="AC63" s="409">
        <f t="shared" si="7"/>
        <v>0</v>
      </c>
      <c r="AD63" s="388"/>
      <c r="AE63" s="388"/>
      <c r="AF63" s="388"/>
    </row>
    <row r="64" spans="1:32" outlineLevel="2" x14ac:dyDescent="0.2">
      <c r="A64" s="391">
        <f t="shared" si="0"/>
        <v>62</v>
      </c>
      <c r="B64" s="392" t="s">
        <v>420</v>
      </c>
      <c r="C64" s="393" t="s">
        <v>480</v>
      </c>
      <c r="D64" s="394">
        <v>2655</v>
      </c>
      <c r="E64" s="393">
        <v>6121</v>
      </c>
      <c r="F64" s="395"/>
      <c r="G64" s="412" t="s">
        <v>482</v>
      </c>
      <c r="H64" s="394">
        <v>2009</v>
      </c>
      <c r="I64" s="394">
        <v>2018</v>
      </c>
      <c r="J64" s="396">
        <v>12570</v>
      </c>
      <c r="K64" s="396"/>
      <c r="L64" s="397"/>
      <c r="M64" s="398"/>
      <c r="N64" s="398">
        <v>302</v>
      </c>
      <c r="O64" s="396">
        <v>121</v>
      </c>
      <c r="P64" s="399">
        <f t="shared" si="2"/>
        <v>0.40066225165562913</v>
      </c>
      <c r="Q64" s="398">
        <v>9376</v>
      </c>
      <c r="R64" s="400">
        <v>50</v>
      </c>
      <c r="S64" s="401"/>
      <c r="T64" s="402" t="s">
        <v>423</v>
      </c>
      <c r="U64" s="403"/>
      <c r="V64" s="404">
        <f t="shared" si="3"/>
        <v>2842</v>
      </c>
      <c r="W64" s="405" t="str">
        <f>IF(AND(P64&lt;[3]koment!$F$1,N64&gt;=[3]koment!$F$2),"Komentovat","")</f>
        <v/>
      </c>
      <c r="X64" s="406">
        <f t="shared" si="8"/>
        <v>7</v>
      </c>
      <c r="Y64" s="404">
        <f t="shared" si="4"/>
        <v>5600</v>
      </c>
      <c r="Z64" s="407" t="str">
        <f t="shared" si="5"/>
        <v>ORG 2655 - Cyklistická stezka Sokolova-Vomáčkova</v>
      </c>
      <c r="AA64" s="408" t="str">
        <f t="shared" si="6"/>
        <v>5600221926556121</v>
      </c>
      <c r="AB64" s="388"/>
      <c r="AC64" s="409">
        <f t="shared" si="7"/>
        <v>2842</v>
      </c>
      <c r="AD64" s="388"/>
      <c r="AE64" s="388"/>
      <c r="AF64" s="388"/>
    </row>
    <row r="65" spans="1:32" outlineLevel="2" x14ac:dyDescent="0.2">
      <c r="A65" s="391">
        <f t="shared" si="0"/>
        <v>63</v>
      </c>
      <c r="B65" s="392" t="s">
        <v>420</v>
      </c>
      <c r="C65" s="393" t="s">
        <v>480</v>
      </c>
      <c r="D65" s="394">
        <v>2655</v>
      </c>
      <c r="E65" s="393">
        <v>6130</v>
      </c>
      <c r="F65" s="395"/>
      <c r="G65" s="394" t="s">
        <v>482</v>
      </c>
      <c r="H65" s="394">
        <v>2009</v>
      </c>
      <c r="I65" s="394">
        <v>2018</v>
      </c>
      <c r="J65" s="396"/>
      <c r="K65" s="396"/>
      <c r="L65" s="397"/>
      <c r="M65" s="398"/>
      <c r="N65" s="398">
        <v>1287</v>
      </c>
      <c r="O65" s="396">
        <v>1287</v>
      </c>
      <c r="P65" s="399">
        <f t="shared" si="2"/>
        <v>1</v>
      </c>
      <c r="Q65" s="398"/>
      <c r="R65" s="400"/>
      <c r="S65" s="401"/>
      <c r="T65" s="402" t="s">
        <v>423</v>
      </c>
      <c r="U65" s="403"/>
      <c r="V65" s="404">
        <f t="shared" si="3"/>
        <v>-1287</v>
      </c>
      <c r="W65" s="405" t="str">
        <f>IF(AND(P65&lt;[3]koment!$F$1,N65&gt;=[3]koment!$F$2),"Komentovat","")</f>
        <v/>
      </c>
      <c r="X65" s="406">
        <f t="shared" si="8"/>
        <v>7</v>
      </c>
      <c r="Y65" s="404">
        <f t="shared" si="4"/>
        <v>5600</v>
      </c>
      <c r="Z65" s="407" t="str">
        <f t="shared" si="5"/>
        <v>ORG 2655 - Cyklistická stezka Sokolova-Vomáčkova</v>
      </c>
      <c r="AA65" s="408" t="str">
        <f t="shared" si="6"/>
        <v>5600221926556130</v>
      </c>
      <c r="AB65" s="388"/>
      <c r="AC65" s="409">
        <f t="shared" si="7"/>
        <v>-1287</v>
      </c>
      <c r="AD65" s="388"/>
      <c r="AE65" s="388"/>
      <c r="AF65" s="388"/>
    </row>
    <row r="66" spans="1:32" outlineLevel="2" x14ac:dyDescent="0.2">
      <c r="A66" s="391">
        <f t="shared" si="0"/>
        <v>64</v>
      </c>
      <c r="B66" s="392" t="s">
        <v>459</v>
      </c>
      <c r="C66" s="393" t="s">
        <v>480</v>
      </c>
      <c r="D66" s="394">
        <v>2670</v>
      </c>
      <c r="E66" s="393">
        <v>6122</v>
      </c>
      <c r="F66" s="395"/>
      <c r="G66" s="425" t="s">
        <v>483</v>
      </c>
      <c r="H66" s="394">
        <v>2016</v>
      </c>
      <c r="I66" s="394">
        <v>2016</v>
      </c>
      <c r="J66" s="396">
        <v>4000</v>
      </c>
      <c r="K66" s="396"/>
      <c r="L66" s="397"/>
      <c r="M66" s="398"/>
      <c r="N66" s="398">
        <v>400</v>
      </c>
      <c r="O66" s="396">
        <v>400</v>
      </c>
      <c r="P66" s="399">
        <f t="shared" si="2"/>
        <v>1</v>
      </c>
      <c r="Q66" s="398"/>
      <c r="R66" s="400"/>
      <c r="S66" s="401"/>
      <c r="T66" s="402" t="s">
        <v>461</v>
      </c>
      <c r="U66" s="403"/>
      <c r="V66" s="404">
        <f t="shared" si="3"/>
        <v>3600</v>
      </c>
      <c r="W66" s="405" t="str">
        <f>IF(AND(P66&lt;[3]koment!$F$1,N66&gt;=[3]koment!$F$2),"Komentovat","")</f>
        <v/>
      </c>
      <c r="X66" s="406">
        <f t="shared" si="8"/>
        <v>7</v>
      </c>
      <c r="Y66" s="404">
        <f t="shared" si="4"/>
        <v>5400</v>
      </c>
      <c r="Z66" s="407" t="str">
        <f t="shared" si="5"/>
        <v>ORG 2670 - Rozšíření pokrytí radiokomunikačního systému TETRA v tunelech ve městě Brně</v>
      </c>
      <c r="AA66" s="408" t="str">
        <f t="shared" si="6"/>
        <v>5400221926706122</v>
      </c>
      <c r="AB66" s="388"/>
      <c r="AC66" s="409">
        <f t="shared" si="7"/>
        <v>3600</v>
      </c>
      <c r="AD66" s="388"/>
      <c r="AE66" s="388"/>
      <c r="AF66" s="388"/>
    </row>
    <row r="67" spans="1:32" outlineLevel="2" x14ac:dyDescent="0.2">
      <c r="A67" s="391">
        <f t="shared" si="0"/>
        <v>65</v>
      </c>
      <c r="B67" s="392" t="s">
        <v>420</v>
      </c>
      <c r="C67" s="393" t="s">
        <v>480</v>
      </c>
      <c r="D67" s="394">
        <v>2693</v>
      </c>
      <c r="E67" s="393">
        <v>6121</v>
      </c>
      <c r="F67" s="395"/>
      <c r="G67" s="394" t="s">
        <v>484</v>
      </c>
      <c r="H67" s="394">
        <v>2016</v>
      </c>
      <c r="I67" s="394">
        <v>2016</v>
      </c>
      <c r="J67" s="396">
        <v>500</v>
      </c>
      <c r="K67" s="396"/>
      <c r="L67" s="397"/>
      <c r="M67" s="398">
        <v>500</v>
      </c>
      <c r="N67" s="398">
        <v>500</v>
      </c>
      <c r="O67" s="396"/>
      <c r="P67" s="399">
        <f t="shared" si="2"/>
        <v>0</v>
      </c>
      <c r="Q67" s="398"/>
      <c r="R67" s="400"/>
      <c r="S67" s="401"/>
      <c r="T67" s="402" t="s">
        <v>423</v>
      </c>
      <c r="U67" s="403"/>
      <c r="V67" s="404">
        <f t="shared" si="3"/>
        <v>0</v>
      </c>
      <c r="W67" s="405" t="str">
        <f>IF(AND(P67&lt;[3]koment!$F$1,N67&gt;=[3]koment!$F$2),"Komentovat","")</f>
        <v/>
      </c>
      <c r="X67" s="406">
        <f t="shared" si="8"/>
        <v>7</v>
      </c>
      <c r="Y67" s="404" t="str">
        <f t="shared" si="4"/>
        <v xml:space="preserve"> </v>
      </c>
      <c r="Z67" s="407">
        <f t="shared" si="5"/>
        <v>0</v>
      </c>
      <c r="AA67" s="408" t="str">
        <f t="shared" si="6"/>
        <v>5600221926936121</v>
      </c>
      <c r="AB67" s="388"/>
      <c r="AC67" s="409">
        <f t="shared" si="7"/>
        <v>0</v>
      </c>
      <c r="AD67" s="388"/>
      <c r="AE67" s="388"/>
      <c r="AF67" s="388"/>
    </row>
    <row r="68" spans="1:32" outlineLevel="2" x14ac:dyDescent="0.2">
      <c r="A68" s="391">
        <f t="shared" ref="A68:A131" si="10">ROW()-2</f>
        <v>66</v>
      </c>
      <c r="B68" s="392" t="s">
        <v>459</v>
      </c>
      <c r="C68" s="393" t="s">
        <v>480</v>
      </c>
      <c r="D68" s="394">
        <v>2698</v>
      </c>
      <c r="E68" s="393">
        <v>6121</v>
      </c>
      <c r="F68" s="395"/>
      <c r="G68" s="426" t="s">
        <v>485</v>
      </c>
      <c r="H68" s="394">
        <v>2016</v>
      </c>
      <c r="I68" s="394">
        <v>2016</v>
      </c>
      <c r="J68" s="396">
        <v>5305</v>
      </c>
      <c r="K68" s="396"/>
      <c r="L68" s="397"/>
      <c r="M68" s="398">
        <v>2000</v>
      </c>
      <c r="N68" s="398"/>
      <c r="O68" s="396"/>
      <c r="P68" s="399" t="str">
        <f t="shared" ref="P68:P131" si="11">IF(N68&lt;=0," ",O68/N68)</f>
        <v xml:space="preserve"> </v>
      </c>
      <c r="Q68" s="398"/>
      <c r="R68" s="400"/>
      <c r="S68" s="401"/>
      <c r="T68" s="402" t="s">
        <v>461</v>
      </c>
      <c r="U68" s="403"/>
      <c r="V68" s="404">
        <f t="shared" si="3"/>
        <v>5305</v>
      </c>
      <c r="W68" s="405" t="str">
        <f>IF(AND(P68&lt;[3]koment!$F$1,N68&gt;=[3]koment!$F$2),"Komentovat","")</f>
        <v/>
      </c>
      <c r="X68" s="406">
        <f t="shared" si="8"/>
        <v>7</v>
      </c>
      <c r="Y68" s="404">
        <f t="shared" si="4"/>
        <v>5400</v>
      </c>
      <c r="Z68" s="407" t="str">
        <f t="shared" si="5"/>
        <v>ORG 2698 - Pracoviště pro výdej rezidentních dokladů MČ Brno-střed</v>
      </c>
      <c r="AA68" s="408" t="str">
        <f t="shared" si="6"/>
        <v>5400221926986121</v>
      </c>
      <c r="AB68" s="388"/>
      <c r="AC68" s="409">
        <f t="shared" si="7"/>
        <v>5305</v>
      </c>
      <c r="AD68" s="388"/>
      <c r="AE68" s="388"/>
      <c r="AF68" s="388"/>
    </row>
    <row r="69" spans="1:32" outlineLevel="2" x14ac:dyDescent="0.2">
      <c r="A69" s="391">
        <f t="shared" si="10"/>
        <v>67</v>
      </c>
      <c r="B69" s="392" t="s">
        <v>459</v>
      </c>
      <c r="C69" s="393" t="s">
        <v>480</v>
      </c>
      <c r="D69" s="394">
        <v>2819</v>
      </c>
      <c r="E69" s="393">
        <v>6111</v>
      </c>
      <c r="F69" s="395"/>
      <c r="G69" s="412" t="s">
        <v>486</v>
      </c>
      <c r="H69" s="394">
        <v>2014</v>
      </c>
      <c r="I69" s="394">
        <v>2016</v>
      </c>
      <c r="J69" s="396"/>
      <c r="K69" s="396"/>
      <c r="L69" s="397">
        <v>0</v>
      </c>
      <c r="M69" s="398"/>
      <c r="N69" s="398">
        <v>68</v>
      </c>
      <c r="O69" s="396">
        <v>67</v>
      </c>
      <c r="P69" s="399">
        <f t="shared" si="11"/>
        <v>0.98529411764705888</v>
      </c>
      <c r="Q69" s="398"/>
      <c r="R69" s="400"/>
      <c r="S69" s="401"/>
      <c r="T69" s="402" t="s">
        <v>461</v>
      </c>
      <c r="U69" s="403"/>
      <c r="V69" s="404">
        <f t="shared" si="3"/>
        <v>-68</v>
      </c>
      <c r="W69" s="405" t="str">
        <f>IF(AND(P69&lt;[3]koment!$F$1,N69&gt;=[3]koment!$F$2),"Komentovat","")</f>
        <v/>
      </c>
      <c r="X69" s="406">
        <f t="shared" si="8"/>
        <v>7</v>
      </c>
      <c r="Y69" s="404">
        <f t="shared" si="4"/>
        <v>5400</v>
      </c>
      <c r="Z69" s="407" t="str">
        <f t="shared" si="5"/>
        <v>ORG 2819 - Dopravně informační centrum - II. etapa</v>
      </c>
      <c r="AA69" s="408" t="str">
        <f t="shared" si="6"/>
        <v>5400221928196111</v>
      </c>
      <c r="AB69" s="388"/>
      <c r="AC69" s="409">
        <f t="shared" si="7"/>
        <v>-68</v>
      </c>
      <c r="AD69" s="388"/>
      <c r="AE69" s="388"/>
      <c r="AF69" s="388"/>
    </row>
    <row r="70" spans="1:32" outlineLevel="2" x14ac:dyDescent="0.2">
      <c r="A70" s="391">
        <f t="shared" si="10"/>
        <v>68</v>
      </c>
      <c r="B70" s="422" t="s">
        <v>459</v>
      </c>
      <c r="C70" s="393" t="s">
        <v>480</v>
      </c>
      <c r="D70" s="393">
        <v>2819</v>
      </c>
      <c r="E70" s="393">
        <v>6125</v>
      </c>
      <c r="F70" s="402"/>
      <c r="G70" s="412" t="s">
        <v>486</v>
      </c>
      <c r="H70" s="423">
        <v>2014</v>
      </c>
      <c r="I70" s="393">
        <v>2016</v>
      </c>
      <c r="J70" s="420">
        <v>4897</v>
      </c>
      <c r="K70" s="420"/>
      <c r="L70" s="420">
        <v>0</v>
      </c>
      <c r="M70" s="421">
        <v>4897</v>
      </c>
      <c r="N70" s="421">
        <v>4829</v>
      </c>
      <c r="O70" s="420">
        <v>4806</v>
      </c>
      <c r="P70" s="399">
        <f t="shared" si="11"/>
        <v>0.99523710913232555</v>
      </c>
      <c r="Q70" s="421"/>
      <c r="R70" s="400"/>
      <c r="S70" s="401"/>
      <c r="T70" s="402" t="s">
        <v>461</v>
      </c>
      <c r="U70" s="403"/>
      <c r="V70" s="404">
        <f t="shared" ref="V70:V138" si="12">IF(LEN($D70)=4,(J70-L70-N70-Q70-R70-S70),0)</f>
        <v>68</v>
      </c>
      <c r="W70" s="405" t="str">
        <f>IF(AND(P70&lt;[3]koment!$F$1,N70&gt;=[3]koment!$F$2),"Komentovat","")</f>
        <v/>
      </c>
      <c r="X70" s="406">
        <f t="shared" ref="X70:X133" si="13">IF(W70="Komentovat",X69+1,X69)</f>
        <v>7</v>
      </c>
      <c r="Y70" s="404">
        <f t="shared" ref="Y70:Y138" si="14">IF($V70=0," ",IF(LEN($B70)=4,$B70*1,$B70))</f>
        <v>5400</v>
      </c>
      <c r="Z70" s="407" t="str">
        <f t="shared" ref="Z70:Z138" si="15">IF($Y70=" ",0,"ORG "&amp;$D70&amp;" - "&amp;$G70)</f>
        <v>ORG 2819 - Dopravně informační centrum - II. etapa</v>
      </c>
      <c r="AA70" s="408" t="str">
        <f t="shared" ref="AA70:AA138" si="16">$B70&amp;LEFT($C70,4)&amp;$D70&amp;$E70&amp;$F70</f>
        <v>5400221928196125</v>
      </c>
      <c r="AB70" s="388"/>
      <c r="AC70" s="409">
        <f t="shared" si="7"/>
        <v>68</v>
      </c>
      <c r="AD70" s="388"/>
      <c r="AE70" s="388"/>
      <c r="AF70" s="388"/>
    </row>
    <row r="71" spans="1:32" outlineLevel="2" x14ac:dyDescent="0.2">
      <c r="A71" s="391">
        <f t="shared" si="10"/>
        <v>69</v>
      </c>
      <c r="B71" s="422" t="s">
        <v>459</v>
      </c>
      <c r="C71" s="393" t="s">
        <v>480</v>
      </c>
      <c r="D71" s="393">
        <v>2826</v>
      </c>
      <c r="E71" s="393">
        <v>6121</v>
      </c>
      <c r="F71" s="402"/>
      <c r="G71" s="412" t="s">
        <v>487</v>
      </c>
      <c r="H71" s="393">
        <v>2014</v>
      </c>
      <c r="I71" s="393">
        <v>2018</v>
      </c>
      <c r="J71" s="420">
        <v>35241</v>
      </c>
      <c r="K71" s="420"/>
      <c r="L71" s="420">
        <v>12641</v>
      </c>
      <c r="M71" s="421">
        <v>5900</v>
      </c>
      <c r="N71" s="421">
        <v>5900</v>
      </c>
      <c r="O71" s="420">
        <v>5888</v>
      </c>
      <c r="P71" s="399">
        <f t="shared" si="11"/>
        <v>0.99796610169491529</v>
      </c>
      <c r="Q71" s="421">
        <v>13800</v>
      </c>
      <c r="R71" s="400">
        <v>2900</v>
      </c>
      <c r="S71" s="401"/>
      <c r="T71" s="402" t="s">
        <v>461</v>
      </c>
      <c r="U71" s="403"/>
      <c r="V71" s="404">
        <f t="shared" si="12"/>
        <v>0</v>
      </c>
      <c r="W71" s="405" t="str">
        <f>IF(AND(P71&lt;[3]koment!$F$1,N71&gt;=[3]koment!$F$2),"Komentovat","")</f>
        <v/>
      </c>
      <c r="X71" s="406">
        <f t="shared" si="13"/>
        <v>7</v>
      </c>
      <c r="Y71" s="404" t="str">
        <f t="shared" si="14"/>
        <v xml:space="preserve"> </v>
      </c>
      <c r="Z71" s="407">
        <f t="shared" si="15"/>
        <v>0</v>
      </c>
      <c r="AA71" s="408" t="str">
        <f t="shared" si="16"/>
        <v>5400221928266121</v>
      </c>
      <c r="AB71" s="388"/>
      <c r="AC71" s="409">
        <f t="shared" si="7"/>
        <v>0</v>
      </c>
      <c r="AD71" s="388"/>
      <c r="AE71" s="388"/>
      <c r="AF71" s="388"/>
    </row>
    <row r="72" spans="1:32" outlineLevel="2" x14ac:dyDescent="0.2">
      <c r="A72" s="391">
        <f t="shared" si="10"/>
        <v>70</v>
      </c>
      <c r="B72" s="392" t="s">
        <v>459</v>
      </c>
      <c r="C72" s="393" t="s">
        <v>480</v>
      </c>
      <c r="D72" s="394">
        <v>2947</v>
      </c>
      <c r="E72" s="393">
        <v>6121</v>
      </c>
      <c r="F72" s="395"/>
      <c r="G72" s="394" t="s">
        <v>488</v>
      </c>
      <c r="H72" s="394"/>
      <c r="I72" s="394"/>
      <c r="J72" s="396"/>
      <c r="K72" s="396"/>
      <c r="L72" s="397"/>
      <c r="M72" s="398"/>
      <c r="N72" s="398">
        <v>7</v>
      </c>
      <c r="O72" s="396">
        <v>6</v>
      </c>
      <c r="P72" s="399">
        <f t="shared" si="11"/>
        <v>0.8571428571428571</v>
      </c>
      <c r="Q72" s="398"/>
      <c r="R72" s="400"/>
      <c r="S72" s="401"/>
      <c r="T72" s="402" t="s">
        <v>461</v>
      </c>
      <c r="U72" s="403"/>
      <c r="V72" s="404">
        <f t="shared" si="12"/>
        <v>-7</v>
      </c>
      <c r="W72" s="405" t="str">
        <f>IF(AND(P72&lt;[3]koment!$F$1,N72&gt;=[3]koment!$F$2),"Komentovat","")</f>
        <v/>
      </c>
      <c r="X72" s="406">
        <f t="shared" si="13"/>
        <v>7</v>
      </c>
      <c r="Y72" s="404">
        <f t="shared" si="14"/>
        <v>5400</v>
      </c>
      <c r="Z72" s="407" t="str">
        <f t="shared" si="15"/>
        <v>ORG 2947 - Výkupy pozemků a objektů pro OD MMB</v>
      </c>
      <c r="AA72" s="408" t="str">
        <f t="shared" si="16"/>
        <v>5400221929476121</v>
      </c>
      <c r="AB72" s="388"/>
      <c r="AC72" s="409">
        <f t="shared" si="7"/>
        <v>-7</v>
      </c>
      <c r="AD72" s="388"/>
      <c r="AE72" s="388"/>
      <c r="AF72" s="388"/>
    </row>
    <row r="73" spans="1:32" outlineLevel="2" x14ac:dyDescent="0.2">
      <c r="A73" s="391">
        <f t="shared" si="10"/>
        <v>71</v>
      </c>
      <c r="B73" s="392" t="s">
        <v>459</v>
      </c>
      <c r="C73" s="393" t="s">
        <v>480</v>
      </c>
      <c r="D73" s="394">
        <v>2947</v>
      </c>
      <c r="E73" s="393">
        <v>6129</v>
      </c>
      <c r="F73" s="395"/>
      <c r="G73" s="394" t="s">
        <v>488</v>
      </c>
      <c r="H73" s="394"/>
      <c r="I73" s="394"/>
      <c r="J73" s="396"/>
      <c r="K73" s="396"/>
      <c r="L73" s="397"/>
      <c r="M73" s="398"/>
      <c r="N73" s="398">
        <v>182</v>
      </c>
      <c r="O73" s="396">
        <v>181</v>
      </c>
      <c r="P73" s="399">
        <f t="shared" si="11"/>
        <v>0.99450549450549453</v>
      </c>
      <c r="Q73" s="398"/>
      <c r="R73" s="400"/>
      <c r="S73" s="401"/>
      <c r="T73" s="402" t="s">
        <v>461</v>
      </c>
      <c r="U73" s="403"/>
      <c r="V73" s="404">
        <f t="shared" si="12"/>
        <v>-182</v>
      </c>
      <c r="W73" s="405" t="str">
        <f>IF(AND(P73&lt;[3]koment!$F$1,N73&gt;=[3]koment!$F$2),"Komentovat","")</f>
        <v/>
      </c>
      <c r="X73" s="406">
        <f t="shared" si="13"/>
        <v>7</v>
      </c>
      <c r="Y73" s="404">
        <f t="shared" si="14"/>
        <v>5400</v>
      </c>
      <c r="Z73" s="407" t="str">
        <f t="shared" si="15"/>
        <v>ORG 2947 - Výkupy pozemků a objektů pro OD MMB</v>
      </c>
      <c r="AA73" s="408" t="str">
        <f t="shared" si="16"/>
        <v>5400221929476129</v>
      </c>
      <c r="AB73" s="388"/>
      <c r="AC73" s="409">
        <f t="shared" si="7"/>
        <v>-182</v>
      </c>
      <c r="AD73" s="388"/>
      <c r="AE73" s="388"/>
      <c r="AF73" s="388"/>
    </row>
    <row r="74" spans="1:32" outlineLevel="2" x14ac:dyDescent="0.2">
      <c r="A74" s="391">
        <f t="shared" si="10"/>
        <v>72</v>
      </c>
      <c r="B74" s="422" t="s">
        <v>459</v>
      </c>
      <c r="C74" s="393" t="s">
        <v>480</v>
      </c>
      <c r="D74" s="393">
        <v>2947</v>
      </c>
      <c r="E74" s="393">
        <v>6130</v>
      </c>
      <c r="F74" s="402"/>
      <c r="G74" s="412" t="s">
        <v>488</v>
      </c>
      <c r="H74" s="419"/>
      <c r="I74" s="419"/>
      <c r="J74" s="420"/>
      <c r="K74" s="420"/>
      <c r="L74" s="420">
        <v>34645</v>
      </c>
      <c r="M74" s="421">
        <v>15000</v>
      </c>
      <c r="N74" s="421">
        <v>14811</v>
      </c>
      <c r="O74" s="420">
        <v>13288</v>
      </c>
      <c r="P74" s="399">
        <f t="shared" si="11"/>
        <v>0.89717102153804607</v>
      </c>
      <c r="Q74" s="421">
        <v>20000</v>
      </c>
      <c r="R74" s="400"/>
      <c r="S74" s="401"/>
      <c r="T74" s="402" t="s">
        <v>461</v>
      </c>
      <c r="U74" s="403"/>
      <c r="V74" s="404">
        <f t="shared" si="12"/>
        <v>-69456</v>
      </c>
      <c r="W74" s="405" t="str">
        <f>IF(AND(P74&lt;[3]koment!$F$1,N74&gt;=[3]koment!$F$2),"Komentovat","")</f>
        <v/>
      </c>
      <c r="X74" s="406">
        <f t="shared" si="13"/>
        <v>7</v>
      </c>
      <c r="Y74" s="404">
        <f t="shared" si="14"/>
        <v>5400</v>
      </c>
      <c r="Z74" s="407" t="str">
        <f t="shared" si="15"/>
        <v>ORG 2947 - Výkupy pozemků a objektů pro OD MMB</v>
      </c>
      <c r="AA74" s="408" t="str">
        <f t="shared" si="16"/>
        <v>5400221929476130</v>
      </c>
      <c r="AB74" s="388"/>
      <c r="AC74" s="409">
        <f t="shared" si="7"/>
        <v>-69456</v>
      </c>
      <c r="AD74" s="388"/>
      <c r="AE74" s="388"/>
      <c r="AF74" s="388"/>
    </row>
    <row r="75" spans="1:32" outlineLevel="2" x14ac:dyDescent="0.2">
      <c r="A75" s="391">
        <f t="shared" si="10"/>
        <v>73</v>
      </c>
      <c r="B75" s="392" t="s">
        <v>420</v>
      </c>
      <c r="C75" s="393" t="s">
        <v>480</v>
      </c>
      <c r="D75" s="394">
        <v>2947</v>
      </c>
      <c r="E75" s="393">
        <v>6130</v>
      </c>
      <c r="F75" s="395"/>
      <c r="G75" s="394" t="s">
        <v>488</v>
      </c>
      <c r="H75" s="394"/>
      <c r="I75" s="394"/>
      <c r="J75" s="396"/>
      <c r="K75" s="396"/>
      <c r="L75" s="397"/>
      <c r="M75" s="398"/>
      <c r="N75" s="398">
        <v>6589</v>
      </c>
      <c r="O75" s="396">
        <v>6587</v>
      </c>
      <c r="P75" s="399">
        <f t="shared" si="11"/>
        <v>0.99969646380330857</v>
      </c>
      <c r="Q75" s="398"/>
      <c r="R75" s="400"/>
      <c r="S75" s="401"/>
      <c r="T75" s="402" t="s">
        <v>423</v>
      </c>
      <c r="U75" s="403"/>
      <c r="V75" s="404">
        <f t="shared" si="12"/>
        <v>-6589</v>
      </c>
      <c r="W75" s="405" t="str">
        <f>IF(AND(P75&lt;[3]koment!$F$1,N75&gt;=[3]koment!$F$2),"Komentovat","")</f>
        <v/>
      </c>
      <c r="X75" s="406">
        <f t="shared" si="13"/>
        <v>7</v>
      </c>
      <c r="Y75" s="404">
        <f t="shared" si="14"/>
        <v>5600</v>
      </c>
      <c r="Z75" s="407" t="str">
        <f t="shared" si="15"/>
        <v>ORG 2947 - Výkupy pozemků a objektů pro OD MMB</v>
      </c>
      <c r="AA75" s="408" t="str">
        <f t="shared" si="16"/>
        <v>5600221929476130</v>
      </c>
      <c r="AB75" s="388"/>
      <c r="AC75" s="409">
        <f t="shared" si="7"/>
        <v>-6589</v>
      </c>
      <c r="AD75" s="388"/>
      <c r="AE75" s="388"/>
      <c r="AF75" s="388"/>
    </row>
    <row r="76" spans="1:32" outlineLevel="2" x14ac:dyDescent="0.2">
      <c r="A76" s="391">
        <f t="shared" si="10"/>
        <v>74</v>
      </c>
      <c r="B76" s="422" t="s">
        <v>420</v>
      </c>
      <c r="C76" s="393" t="s">
        <v>480</v>
      </c>
      <c r="D76" s="393">
        <v>4208</v>
      </c>
      <c r="E76" s="393">
        <v>6121</v>
      </c>
      <c r="F76" s="402"/>
      <c r="G76" s="412" t="s">
        <v>489</v>
      </c>
      <c r="H76" s="393"/>
      <c r="I76" s="393"/>
      <c r="J76" s="420"/>
      <c r="K76" s="420"/>
      <c r="L76" s="420">
        <v>54510</v>
      </c>
      <c r="M76" s="421">
        <v>20000</v>
      </c>
      <c r="N76" s="421">
        <v>630</v>
      </c>
      <c r="O76" s="420">
        <v>0</v>
      </c>
      <c r="P76" s="399">
        <f t="shared" si="11"/>
        <v>0</v>
      </c>
      <c r="Q76" s="421">
        <v>3000</v>
      </c>
      <c r="R76" s="400"/>
      <c r="S76" s="401"/>
      <c r="T76" s="402" t="s">
        <v>423</v>
      </c>
      <c r="U76" s="403"/>
      <c r="V76" s="404">
        <f t="shared" si="12"/>
        <v>-58140</v>
      </c>
      <c r="W76" s="405" t="str">
        <f>IF(AND(P76&lt;[3]koment!$F$1,N76&gt;=[3]koment!$F$2),"Komentovat","")</f>
        <v/>
      </c>
      <c r="X76" s="406">
        <f t="shared" si="13"/>
        <v>7</v>
      </c>
      <c r="Y76" s="404">
        <f t="shared" si="14"/>
        <v>5600</v>
      </c>
      <c r="Z76" s="407" t="str">
        <f t="shared" si="15"/>
        <v>ORG 4208 - Majetkoprávní vypořádání a přípr. doprav. staveb</v>
      </c>
      <c r="AA76" s="408" t="str">
        <f t="shared" si="16"/>
        <v>5600221942086121</v>
      </c>
      <c r="AB76" s="388"/>
      <c r="AC76" s="409">
        <f t="shared" si="7"/>
        <v>-58140</v>
      </c>
      <c r="AD76" s="388"/>
      <c r="AE76" s="388"/>
      <c r="AF76" s="388"/>
    </row>
    <row r="77" spans="1:32" outlineLevel="2" x14ac:dyDescent="0.2">
      <c r="A77" s="391">
        <f t="shared" si="10"/>
        <v>75</v>
      </c>
      <c r="B77" s="422" t="s">
        <v>420</v>
      </c>
      <c r="C77" s="393" t="s">
        <v>480</v>
      </c>
      <c r="D77" s="393">
        <v>5023</v>
      </c>
      <c r="E77" s="393">
        <v>6121</v>
      </c>
      <c r="F77" s="427" t="s">
        <v>490</v>
      </c>
      <c r="G77" s="412" t="s">
        <v>491</v>
      </c>
      <c r="H77" s="423">
        <v>2009</v>
      </c>
      <c r="I77" s="393">
        <v>2016</v>
      </c>
      <c r="J77" s="420">
        <v>72500</v>
      </c>
      <c r="K77" s="420">
        <v>48017</v>
      </c>
      <c r="L77" s="420">
        <v>71720</v>
      </c>
      <c r="M77" s="421">
        <v>300</v>
      </c>
      <c r="N77" s="421">
        <v>300</v>
      </c>
      <c r="O77" s="420">
        <v>227</v>
      </c>
      <c r="P77" s="399">
        <f t="shared" si="11"/>
        <v>0.75666666666666671</v>
      </c>
      <c r="Q77" s="421"/>
      <c r="R77" s="400"/>
      <c r="S77" s="401"/>
      <c r="T77" s="402" t="s">
        <v>423</v>
      </c>
      <c r="U77" s="403"/>
      <c r="V77" s="404">
        <f t="shared" si="12"/>
        <v>480</v>
      </c>
      <c r="W77" s="405" t="str">
        <f>IF(AND(P77&lt;[3]koment!$F$1,N77&gt;=[3]koment!$F$2),"Komentovat","")</f>
        <v/>
      </c>
      <c r="X77" s="406">
        <f t="shared" si="13"/>
        <v>7</v>
      </c>
      <c r="Y77" s="404">
        <f t="shared" si="14"/>
        <v>5600</v>
      </c>
      <c r="Z77" s="407" t="str">
        <f t="shared" si="15"/>
        <v>ORG 5023 - Zelný trh</v>
      </c>
      <c r="AA77" s="408" t="str">
        <f t="shared" si="16"/>
        <v>5600221950236121EU</v>
      </c>
      <c r="AB77" s="388"/>
      <c r="AC77" s="409">
        <f t="shared" si="7"/>
        <v>480</v>
      </c>
      <c r="AD77" s="388"/>
      <c r="AE77" s="388"/>
      <c r="AF77" s="388"/>
    </row>
    <row r="78" spans="1:32" outlineLevel="2" x14ac:dyDescent="0.2">
      <c r="A78" s="391">
        <f t="shared" si="10"/>
        <v>76</v>
      </c>
      <c r="B78" s="392" t="s">
        <v>459</v>
      </c>
      <c r="C78" s="393" t="s">
        <v>480</v>
      </c>
      <c r="D78" s="394">
        <v>5162</v>
      </c>
      <c r="E78" s="393">
        <v>6111</v>
      </c>
      <c r="F78" s="427" t="s">
        <v>490</v>
      </c>
      <c r="G78" s="412" t="s">
        <v>492</v>
      </c>
      <c r="H78" s="394">
        <v>2012</v>
      </c>
      <c r="I78" s="394">
        <v>2016</v>
      </c>
      <c r="J78" s="396">
        <v>10000</v>
      </c>
      <c r="K78" s="396"/>
      <c r="L78" s="397">
        <v>6275</v>
      </c>
      <c r="M78" s="398"/>
      <c r="N78" s="398">
        <v>1900</v>
      </c>
      <c r="O78" s="396">
        <v>1389</v>
      </c>
      <c r="P78" s="399">
        <f t="shared" si="11"/>
        <v>0.7310526315789474</v>
      </c>
      <c r="Q78" s="398"/>
      <c r="R78" s="400"/>
      <c r="S78" s="401"/>
      <c r="T78" s="402" t="s">
        <v>461</v>
      </c>
      <c r="U78" s="403"/>
      <c r="V78" s="404">
        <f t="shared" si="12"/>
        <v>1825</v>
      </c>
      <c r="W78" s="405" t="str">
        <f>IF(AND(P78&lt;[3]koment!$F$1,N78&gt;=[3]koment!$F$2),"Komentovat","")</f>
        <v>Komentovat</v>
      </c>
      <c r="X78" s="406">
        <f t="shared" si="13"/>
        <v>8</v>
      </c>
      <c r="Y78" s="404">
        <f t="shared" si="14"/>
        <v>5400</v>
      </c>
      <c r="Z78" s="407" t="str">
        <f t="shared" si="15"/>
        <v>ORG 5162 - CIVITAS 2MOVE2</v>
      </c>
      <c r="AA78" s="408" t="str">
        <f t="shared" si="16"/>
        <v>5400221951626111EU</v>
      </c>
      <c r="AB78" s="388"/>
      <c r="AC78" s="409">
        <f t="shared" si="7"/>
        <v>1825</v>
      </c>
      <c r="AD78" s="388"/>
      <c r="AE78" s="388"/>
      <c r="AF78" s="388"/>
    </row>
    <row r="79" spans="1:32" outlineLevel="2" x14ac:dyDescent="0.2">
      <c r="A79" s="391">
        <f t="shared" si="10"/>
        <v>77</v>
      </c>
      <c r="B79" s="392" t="s">
        <v>459</v>
      </c>
      <c r="C79" s="393" t="s">
        <v>480</v>
      </c>
      <c r="D79" s="394">
        <v>5308</v>
      </c>
      <c r="E79" s="393">
        <v>6121</v>
      </c>
      <c r="F79" s="427" t="s">
        <v>490</v>
      </c>
      <c r="G79" s="412" t="s">
        <v>493</v>
      </c>
      <c r="H79" s="394">
        <v>2016</v>
      </c>
      <c r="I79" s="394">
        <v>2017</v>
      </c>
      <c r="J79" s="396">
        <v>7960</v>
      </c>
      <c r="K79" s="396"/>
      <c r="L79" s="397"/>
      <c r="M79" s="398"/>
      <c r="N79" s="398">
        <v>500</v>
      </c>
      <c r="O79" s="396"/>
      <c r="P79" s="399">
        <f t="shared" si="11"/>
        <v>0</v>
      </c>
      <c r="Q79" s="398">
        <v>500</v>
      </c>
      <c r="R79" s="400"/>
      <c r="S79" s="401"/>
      <c r="T79" s="402" t="s">
        <v>461</v>
      </c>
      <c r="U79" s="403"/>
      <c r="V79" s="404">
        <f t="shared" si="12"/>
        <v>6960</v>
      </c>
      <c r="W79" s="405" t="str">
        <f>IF(AND(P79&lt;[3]koment!$F$1,N79&gt;=[3]koment!$F$2),"Komentovat","")</f>
        <v/>
      </c>
      <c r="X79" s="406">
        <f t="shared" si="13"/>
        <v>8</v>
      </c>
      <c r="Y79" s="404">
        <f t="shared" si="14"/>
        <v>5400</v>
      </c>
      <c r="Z79" s="407" t="str">
        <f t="shared" si="15"/>
        <v>ORG 5308 - Cykloopatření ve vybraných částech Brna, I.etapa</v>
      </c>
      <c r="AA79" s="408" t="str">
        <f t="shared" si="16"/>
        <v>5400221953086121EU</v>
      </c>
      <c r="AB79" s="388"/>
      <c r="AC79" s="409">
        <f t="shared" si="7"/>
        <v>6960</v>
      </c>
      <c r="AD79" s="388"/>
      <c r="AE79" s="388"/>
      <c r="AF79" s="388"/>
    </row>
    <row r="80" spans="1:32" outlineLevel="2" x14ac:dyDescent="0.2">
      <c r="A80" s="391">
        <f t="shared" si="10"/>
        <v>78</v>
      </c>
      <c r="B80" s="392" t="s">
        <v>420</v>
      </c>
      <c r="C80" s="393" t="s">
        <v>480</v>
      </c>
      <c r="D80" s="394">
        <v>5311</v>
      </c>
      <c r="E80" s="393">
        <v>6121</v>
      </c>
      <c r="F80" s="427" t="s">
        <v>490</v>
      </c>
      <c r="G80" s="412" t="s">
        <v>494</v>
      </c>
      <c r="H80" s="394">
        <v>2016</v>
      </c>
      <c r="I80" s="394">
        <v>2018</v>
      </c>
      <c r="J80" s="396">
        <v>348000</v>
      </c>
      <c r="K80" s="396"/>
      <c r="L80" s="397"/>
      <c r="M80" s="398"/>
      <c r="N80" s="398">
        <v>1000</v>
      </c>
      <c r="O80" s="396"/>
      <c r="P80" s="399">
        <f t="shared" si="11"/>
        <v>0</v>
      </c>
      <c r="Q80" s="398">
        <v>1000</v>
      </c>
      <c r="R80" s="400"/>
      <c r="S80" s="401"/>
      <c r="T80" s="402" t="s">
        <v>423</v>
      </c>
      <c r="U80" s="403"/>
      <c r="V80" s="404">
        <f t="shared" si="12"/>
        <v>346000</v>
      </c>
      <c r="W80" s="405" t="str">
        <f>IF(AND(P80&lt;[3]koment!$F$1,N80&gt;=[3]koment!$F$2),"Komentovat","")</f>
        <v>Komentovat</v>
      </c>
      <c r="X80" s="406">
        <f t="shared" si="13"/>
        <v>9</v>
      </c>
      <c r="Y80" s="404">
        <f t="shared" si="14"/>
        <v>5600</v>
      </c>
      <c r="Z80" s="407" t="str">
        <f t="shared" si="15"/>
        <v>ORG 5311 - Systém parkování Park &amp; Ride - 1. etapa</v>
      </c>
      <c r="AA80" s="408" t="str">
        <f t="shared" si="16"/>
        <v>5600221953116121EU</v>
      </c>
      <c r="AB80" s="388"/>
      <c r="AC80" s="409">
        <f t="shared" si="7"/>
        <v>346000</v>
      </c>
      <c r="AD80" s="388"/>
      <c r="AE80" s="388"/>
      <c r="AF80" s="388"/>
    </row>
    <row r="81" spans="1:32" outlineLevel="2" x14ac:dyDescent="0.2">
      <c r="A81" s="391">
        <f t="shared" si="10"/>
        <v>79</v>
      </c>
      <c r="B81" s="392" t="s">
        <v>420</v>
      </c>
      <c r="C81" s="393" t="s">
        <v>480</v>
      </c>
      <c r="D81" s="394">
        <v>5325</v>
      </c>
      <c r="E81" s="393">
        <v>6121</v>
      </c>
      <c r="F81" s="427" t="s">
        <v>490</v>
      </c>
      <c r="G81" s="428" t="s">
        <v>495</v>
      </c>
      <c r="H81" s="394">
        <v>2016</v>
      </c>
      <c r="I81" s="394">
        <v>2018</v>
      </c>
      <c r="J81" s="396">
        <v>30000</v>
      </c>
      <c r="K81" s="396"/>
      <c r="L81" s="397"/>
      <c r="M81" s="398"/>
      <c r="N81" s="398">
        <v>500</v>
      </c>
      <c r="O81" s="396"/>
      <c r="P81" s="399">
        <f t="shared" si="11"/>
        <v>0</v>
      </c>
      <c r="Q81" s="398">
        <v>500</v>
      </c>
      <c r="R81" s="400"/>
      <c r="S81" s="401"/>
      <c r="T81" s="402" t="s">
        <v>423</v>
      </c>
      <c r="U81" s="403"/>
      <c r="V81" s="404">
        <f t="shared" si="12"/>
        <v>29000</v>
      </c>
      <c r="W81" s="405" t="str">
        <f>IF(AND(P81&lt;[3]koment!$F$1,N81&gt;=[3]koment!$F$2),"Komentovat","")</f>
        <v/>
      </c>
      <c r="X81" s="406">
        <f t="shared" si="13"/>
        <v>9</v>
      </c>
      <c r="Y81" s="404">
        <f t="shared" si="14"/>
        <v>5600</v>
      </c>
      <c r="Z81" s="407" t="str">
        <f t="shared" si="15"/>
        <v>ORG 5325 - Cykloopatření ve vybraných částech Brna, II. etapa</v>
      </c>
      <c r="AA81" s="408" t="str">
        <f t="shared" si="16"/>
        <v>5600221953256121EU</v>
      </c>
      <c r="AB81" s="388"/>
      <c r="AC81" s="409">
        <f t="shared" si="7"/>
        <v>29000</v>
      </c>
      <c r="AD81" s="388"/>
      <c r="AE81" s="388"/>
      <c r="AF81" s="388"/>
    </row>
    <row r="82" spans="1:32" outlineLevel="2" x14ac:dyDescent="0.2">
      <c r="A82" s="391">
        <f t="shared" si="10"/>
        <v>80</v>
      </c>
      <c r="B82" s="392" t="s">
        <v>420</v>
      </c>
      <c r="C82" s="393" t="s">
        <v>480</v>
      </c>
      <c r="D82" s="394">
        <v>5329</v>
      </c>
      <c r="E82" s="393">
        <v>6121</v>
      </c>
      <c r="F82" s="427" t="s">
        <v>490</v>
      </c>
      <c r="G82" s="412" t="s">
        <v>496</v>
      </c>
      <c r="H82" s="394">
        <v>2017</v>
      </c>
      <c r="I82" s="394">
        <v>2020</v>
      </c>
      <c r="J82" s="396">
        <v>446800</v>
      </c>
      <c r="K82" s="396"/>
      <c r="L82" s="397"/>
      <c r="M82" s="398"/>
      <c r="N82" s="398">
        <v>500</v>
      </c>
      <c r="O82" s="396"/>
      <c r="P82" s="399">
        <f t="shared" si="11"/>
        <v>0</v>
      </c>
      <c r="Q82" s="398">
        <v>1000</v>
      </c>
      <c r="R82" s="400"/>
      <c r="S82" s="401"/>
      <c r="T82" s="402" t="s">
        <v>423</v>
      </c>
      <c r="U82" s="403"/>
      <c r="V82" s="404">
        <f t="shared" si="12"/>
        <v>445300</v>
      </c>
      <c r="W82" s="405" t="str">
        <f>IF(AND(P82&lt;[3]koment!$F$1,N82&gt;=[3]koment!$F$2),"Komentovat","")</f>
        <v/>
      </c>
      <c r="X82" s="406">
        <f t="shared" si="13"/>
        <v>9</v>
      </c>
      <c r="Y82" s="404">
        <f t="shared" si="14"/>
        <v>5600</v>
      </c>
      <c r="Z82" s="407" t="str">
        <f t="shared" si="15"/>
        <v>ORG 5329 - Systém parkování Park &amp; Ride - 2. etapa</v>
      </c>
      <c r="AA82" s="408" t="str">
        <f t="shared" si="16"/>
        <v>5600221953296121EU</v>
      </c>
      <c r="AB82" s="388"/>
      <c r="AC82" s="409">
        <f t="shared" si="7"/>
        <v>445300</v>
      </c>
      <c r="AD82" s="388"/>
      <c r="AE82" s="388"/>
      <c r="AF82" s="388"/>
    </row>
    <row r="83" spans="1:32" outlineLevel="2" x14ac:dyDescent="0.2">
      <c r="A83" s="391">
        <f t="shared" si="10"/>
        <v>81</v>
      </c>
      <c r="B83" s="392" t="s">
        <v>459</v>
      </c>
      <c r="C83" s="393" t="s">
        <v>480</v>
      </c>
      <c r="D83" s="394">
        <v>5330</v>
      </c>
      <c r="E83" s="393">
        <v>6121</v>
      </c>
      <c r="F83" s="427" t="s">
        <v>490</v>
      </c>
      <c r="G83" s="412" t="s">
        <v>497</v>
      </c>
      <c r="H83" s="394">
        <v>2016</v>
      </c>
      <c r="I83" s="394">
        <v>2017</v>
      </c>
      <c r="J83" s="396">
        <v>300</v>
      </c>
      <c r="K83" s="396"/>
      <c r="L83" s="397"/>
      <c r="M83" s="398"/>
      <c r="N83" s="398">
        <v>300</v>
      </c>
      <c r="O83" s="396"/>
      <c r="P83" s="399">
        <f t="shared" si="11"/>
        <v>0</v>
      </c>
      <c r="Q83" s="398"/>
      <c r="R83" s="400"/>
      <c r="S83" s="401"/>
      <c r="T83" s="402" t="s">
        <v>461</v>
      </c>
      <c r="U83" s="403"/>
      <c r="V83" s="404">
        <f t="shared" si="12"/>
        <v>0</v>
      </c>
      <c r="W83" s="405" t="str">
        <f>IF(AND(P83&lt;[3]koment!$F$1,N83&gt;=[3]koment!$F$2),"Komentovat","")</f>
        <v/>
      </c>
      <c r="X83" s="406">
        <f t="shared" si="13"/>
        <v>9</v>
      </c>
      <c r="Y83" s="404" t="str">
        <f t="shared" si="14"/>
        <v xml:space="preserve"> </v>
      </c>
      <c r="Z83" s="407">
        <f t="shared" si="15"/>
        <v>0</v>
      </c>
      <c r="AA83" s="408" t="str">
        <f t="shared" si="16"/>
        <v>5400221953306121EU</v>
      </c>
      <c r="AB83" s="388"/>
      <c r="AC83" s="409">
        <f t="shared" si="7"/>
        <v>0</v>
      </c>
      <c r="AD83" s="388"/>
      <c r="AE83" s="388"/>
      <c r="AF83" s="388"/>
    </row>
    <row r="84" spans="1:32" outlineLevel="2" x14ac:dyDescent="0.2">
      <c r="A84" s="391">
        <f t="shared" si="10"/>
        <v>82</v>
      </c>
      <c r="B84" s="392" t="s">
        <v>459</v>
      </c>
      <c r="C84" s="393" t="s">
        <v>480</v>
      </c>
      <c r="D84" s="394">
        <v>5346</v>
      </c>
      <c r="E84" s="393">
        <v>6122</v>
      </c>
      <c r="F84" s="427" t="s">
        <v>490</v>
      </c>
      <c r="G84" s="412" t="s">
        <v>498</v>
      </c>
      <c r="H84" s="394">
        <v>2016</v>
      </c>
      <c r="I84" s="394">
        <v>2018</v>
      </c>
      <c r="J84" s="396">
        <v>92227</v>
      </c>
      <c r="K84" s="396"/>
      <c r="L84" s="397"/>
      <c r="M84" s="398"/>
      <c r="N84" s="398">
        <v>1200</v>
      </c>
      <c r="O84" s="396">
        <v>841</v>
      </c>
      <c r="P84" s="399">
        <f t="shared" si="11"/>
        <v>0.70083333333333331</v>
      </c>
      <c r="Q84" s="398"/>
      <c r="R84" s="400"/>
      <c r="S84" s="401"/>
      <c r="T84" s="402" t="s">
        <v>461</v>
      </c>
      <c r="U84" s="403"/>
      <c r="V84" s="404">
        <f t="shared" si="12"/>
        <v>91027</v>
      </c>
      <c r="W84" s="405" t="str">
        <f>IF(AND(P84&lt;[3]koment!$F$1,N84&gt;=[3]koment!$F$2),"Komentovat","")</f>
        <v>Komentovat</v>
      </c>
      <c r="X84" s="406">
        <f t="shared" si="13"/>
        <v>10</v>
      </c>
      <c r="Y84" s="404">
        <f t="shared" si="14"/>
        <v>5400</v>
      </c>
      <c r="Z84" s="407" t="str">
        <f t="shared" si="15"/>
        <v>ORG 5346 - Parkovací systém</v>
      </c>
      <c r="AA84" s="408" t="str">
        <f t="shared" si="16"/>
        <v>5400221953466122EU</v>
      </c>
      <c r="AB84" s="388"/>
      <c r="AC84" s="409">
        <f t="shared" si="7"/>
        <v>91027</v>
      </c>
      <c r="AD84" s="388"/>
      <c r="AE84" s="388"/>
      <c r="AF84" s="388"/>
    </row>
    <row r="85" spans="1:32" outlineLevel="2" x14ac:dyDescent="0.2">
      <c r="A85" s="391">
        <f t="shared" si="10"/>
        <v>83</v>
      </c>
      <c r="B85" s="392" t="s">
        <v>459</v>
      </c>
      <c r="C85" s="429" t="s">
        <v>499</v>
      </c>
      <c r="D85" s="430">
        <v>300299</v>
      </c>
      <c r="E85" s="429">
        <v>6313</v>
      </c>
      <c r="F85" s="431"/>
      <c r="G85" s="428" t="s">
        <v>500</v>
      </c>
      <c r="H85" s="394">
        <v>2016</v>
      </c>
      <c r="I85" s="394">
        <v>2016</v>
      </c>
      <c r="J85" s="396"/>
      <c r="K85" s="396"/>
      <c r="L85" s="397"/>
      <c r="M85" s="398">
        <v>68299</v>
      </c>
      <c r="N85" s="398">
        <v>68299</v>
      </c>
      <c r="O85" s="396">
        <v>67965</v>
      </c>
      <c r="P85" s="399">
        <f t="shared" si="11"/>
        <v>0.99510973806351488</v>
      </c>
      <c r="Q85" s="398"/>
      <c r="R85" s="400"/>
      <c r="S85" s="401"/>
      <c r="T85" s="402" t="s">
        <v>461</v>
      </c>
      <c r="U85" s="403"/>
      <c r="V85" s="404">
        <f t="shared" si="12"/>
        <v>0</v>
      </c>
      <c r="W85" s="405" t="str">
        <f>IF(AND(P85&lt;[3]koment!$F$1,N85&gt;=[3]koment!$F$2),"Komentovat","")</f>
        <v/>
      </c>
      <c r="X85" s="406">
        <f t="shared" si="13"/>
        <v>10</v>
      </c>
      <c r="Y85" s="404" t="str">
        <f t="shared" si="14"/>
        <v xml:space="preserve"> </v>
      </c>
      <c r="Z85" s="407">
        <f t="shared" si="15"/>
        <v>0</v>
      </c>
      <c r="AA85" s="408" t="str">
        <f t="shared" si="16"/>
        <v>540022193002996313</v>
      </c>
      <c r="AB85" s="388"/>
      <c r="AC85" s="409">
        <f t="shared" si="7"/>
        <v>0</v>
      </c>
      <c r="AD85" s="388"/>
      <c r="AE85" s="388"/>
      <c r="AF85" s="388"/>
    </row>
    <row r="86" spans="1:32" outlineLevel="1" x14ac:dyDescent="0.2">
      <c r="A86" s="391">
        <f t="shared" si="10"/>
        <v>84</v>
      </c>
      <c r="B86" s="392"/>
      <c r="C86" s="432" t="s">
        <v>501</v>
      </c>
      <c r="D86" s="430"/>
      <c r="E86" s="429"/>
      <c r="F86" s="431"/>
      <c r="G86" s="428"/>
      <c r="H86" s="394"/>
      <c r="I86" s="394"/>
      <c r="J86" s="396">
        <f t="shared" ref="J86:O86" si="17">SUBTOTAL(9,J63:J85)</f>
        <v>1076300</v>
      </c>
      <c r="K86" s="396">
        <f t="shared" si="17"/>
        <v>48017</v>
      </c>
      <c r="L86" s="397">
        <f t="shared" si="17"/>
        <v>179791</v>
      </c>
      <c r="M86" s="398">
        <f t="shared" si="17"/>
        <v>116896</v>
      </c>
      <c r="N86" s="398">
        <f t="shared" si="17"/>
        <v>113004</v>
      </c>
      <c r="O86" s="396">
        <f t="shared" si="17"/>
        <v>106053</v>
      </c>
      <c r="P86" s="399">
        <f t="shared" si="11"/>
        <v>0.93848890304767973</v>
      </c>
      <c r="Q86" s="398">
        <f>SUBTOTAL(9,Q63:Q85)</f>
        <v>52176</v>
      </c>
      <c r="R86" s="400">
        <f>SUBTOTAL(9,R63:R85)</f>
        <v>2950</v>
      </c>
      <c r="S86" s="401">
        <f>SUBTOTAL(9,S63:S85)</f>
        <v>0</v>
      </c>
      <c r="T86" s="402"/>
      <c r="U86" s="403"/>
      <c r="V86" s="404"/>
      <c r="W86" s="405"/>
      <c r="X86" s="406"/>
      <c r="Y86" s="404" t="str">
        <f>IF($V86=0," ",IF(LEN($B86)=4,$B86*1,$B86))</f>
        <v xml:space="preserve"> </v>
      </c>
      <c r="Z86" s="407">
        <f>IF($Y86=" ",0,"ORG "&amp;$D86&amp;" - "&amp;$G86)</f>
        <v>0</v>
      </c>
      <c r="AA86" s="408" t="str">
        <f>$B86&amp;LEFT($C86,4)&amp;$D86&amp;$E86&amp;$F86</f>
        <v>Celk</v>
      </c>
      <c r="AB86" s="388"/>
      <c r="AC86" s="409"/>
      <c r="AD86" s="388"/>
      <c r="AE86" s="388"/>
      <c r="AF86" s="388"/>
    </row>
    <row r="87" spans="1:32" outlineLevel="2" x14ac:dyDescent="0.2">
      <c r="A87" s="391">
        <f t="shared" si="10"/>
        <v>85</v>
      </c>
      <c r="B87" s="422" t="s">
        <v>420</v>
      </c>
      <c r="C87" s="393" t="s">
        <v>502</v>
      </c>
      <c r="D87" s="393">
        <v>5172</v>
      </c>
      <c r="E87" s="393">
        <v>6121</v>
      </c>
      <c r="F87" s="427" t="s">
        <v>490</v>
      </c>
      <c r="G87" s="412" t="s">
        <v>503</v>
      </c>
      <c r="H87" s="393">
        <v>2013</v>
      </c>
      <c r="I87" s="393">
        <v>2017</v>
      </c>
      <c r="J87" s="420">
        <v>73620</v>
      </c>
      <c r="K87" s="420">
        <v>54659</v>
      </c>
      <c r="L87" s="420">
        <v>46834</v>
      </c>
      <c r="M87" s="421">
        <v>2950</v>
      </c>
      <c r="N87" s="421">
        <v>2950</v>
      </c>
      <c r="O87" s="420">
        <v>230</v>
      </c>
      <c r="P87" s="399">
        <f t="shared" si="11"/>
        <v>7.796610169491526E-2</v>
      </c>
      <c r="Q87" s="421">
        <v>1000</v>
      </c>
      <c r="R87" s="400"/>
      <c r="S87" s="401"/>
      <c r="T87" s="402" t="s">
        <v>423</v>
      </c>
      <c r="U87" s="403"/>
      <c r="V87" s="404">
        <f t="shared" si="12"/>
        <v>22836</v>
      </c>
      <c r="W87" s="405" t="str">
        <f>IF(AND(P87&lt;[3]koment!$F$1,N87&gt;=[3]koment!$F$2),"Komentovat","")</f>
        <v>Komentovat</v>
      </c>
      <c r="X87" s="406">
        <f>IF(W87="Komentovat",X85+1,X85)</f>
        <v>11</v>
      </c>
      <c r="Y87" s="404">
        <f t="shared" si="14"/>
        <v>5600</v>
      </c>
      <c r="Z87" s="407" t="str">
        <f t="shared" si="15"/>
        <v>ORG 5172 - Dopravní telematika ve městě Brně - 1. část</v>
      </c>
      <c r="AA87" s="408" t="str">
        <f t="shared" si="16"/>
        <v>5600222951726121EU</v>
      </c>
      <c r="AB87" s="388"/>
      <c r="AC87" s="409">
        <f t="shared" si="7"/>
        <v>22836</v>
      </c>
      <c r="AD87" s="388"/>
      <c r="AE87" s="388"/>
      <c r="AF87" s="388"/>
    </row>
    <row r="88" spans="1:32" outlineLevel="2" x14ac:dyDescent="0.2">
      <c r="A88" s="391">
        <f t="shared" si="10"/>
        <v>86</v>
      </c>
      <c r="B88" s="422" t="s">
        <v>420</v>
      </c>
      <c r="C88" s="393" t="s">
        <v>502</v>
      </c>
      <c r="D88" s="393">
        <v>5173</v>
      </c>
      <c r="E88" s="393">
        <v>6121</v>
      </c>
      <c r="F88" s="427" t="s">
        <v>490</v>
      </c>
      <c r="G88" s="412" t="s">
        <v>504</v>
      </c>
      <c r="H88" s="393">
        <v>2013</v>
      </c>
      <c r="I88" s="393">
        <v>2017</v>
      </c>
      <c r="J88" s="420">
        <v>54329</v>
      </c>
      <c r="K88" s="420">
        <v>40786</v>
      </c>
      <c r="L88" s="420">
        <v>33684</v>
      </c>
      <c r="M88" s="421">
        <v>1300</v>
      </c>
      <c r="N88" s="421">
        <v>1300</v>
      </c>
      <c r="O88" s="420">
        <v>93</v>
      </c>
      <c r="P88" s="399">
        <f t="shared" si="11"/>
        <v>7.1538461538461537E-2</v>
      </c>
      <c r="Q88" s="421">
        <v>1000</v>
      </c>
      <c r="R88" s="400"/>
      <c r="S88" s="401"/>
      <c r="T88" s="402" t="s">
        <v>423</v>
      </c>
      <c r="U88" s="403"/>
      <c r="V88" s="404">
        <f t="shared" si="12"/>
        <v>18345</v>
      </c>
      <c r="W88" s="405" t="str">
        <f>IF(AND(P88&lt;[3]koment!$F$1,N88&gt;=[3]koment!$F$2),"Komentovat","")</f>
        <v>Komentovat</v>
      </c>
      <c r="X88" s="406">
        <f t="shared" si="13"/>
        <v>12</v>
      </c>
      <c r="Y88" s="404">
        <f t="shared" si="14"/>
        <v>5600</v>
      </c>
      <c r="Z88" s="407" t="str">
        <f t="shared" si="15"/>
        <v>ORG 5173 - Dopravní telematika ve městě Brně - 2. část</v>
      </c>
      <c r="AA88" s="408" t="str">
        <f t="shared" si="16"/>
        <v>5600222951736121EU</v>
      </c>
      <c r="AB88" s="388"/>
      <c r="AC88" s="409">
        <f t="shared" si="7"/>
        <v>18345</v>
      </c>
      <c r="AD88" s="388"/>
      <c r="AE88" s="388"/>
      <c r="AF88" s="388"/>
    </row>
    <row r="89" spans="1:32" outlineLevel="2" x14ac:dyDescent="0.2">
      <c r="A89" s="391">
        <f t="shared" si="10"/>
        <v>87</v>
      </c>
      <c r="B89" s="422" t="s">
        <v>420</v>
      </c>
      <c r="C89" s="393" t="s">
        <v>502</v>
      </c>
      <c r="D89" s="393">
        <v>5174</v>
      </c>
      <c r="E89" s="393">
        <v>6121</v>
      </c>
      <c r="F89" s="427" t="s">
        <v>490</v>
      </c>
      <c r="G89" s="394" t="s">
        <v>505</v>
      </c>
      <c r="H89" s="393">
        <v>2013</v>
      </c>
      <c r="I89" s="393">
        <v>2017</v>
      </c>
      <c r="J89" s="420">
        <v>22666</v>
      </c>
      <c r="K89" s="420">
        <v>13825</v>
      </c>
      <c r="L89" s="420">
        <v>13395</v>
      </c>
      <c r="M89" s="421">
        <v>420</v>
      </c>
      <c r="N89" s="421">
        <v>420</v>
      </c>
      <c r="O89" s="420">
        <v>74</v>
      </c>
      <c r="P89" s="399">
        <f t="shared" si="11"/>
        <v>0.1761904761904762</v>
      </c>
      <c r="Q89" s="421">
        <v>1000</v>
      </c>
      <c r="R89" s="400"/>
      <c r="S89" s="401"/>
      <c r="T89" s="402" t="s">
        <v>423</v>
      </c>
      <c r="U89" s="403"/>
      <c r="V89" s="404">
        <f t="shared" si="12"/>
        <v>7851</v>
      </c>
      <c r="W89" s="405" t="str">
        <f>IF(AND(P89&lt;[3]koment!$F$1,N89&gt;=[3]koment!$F$2),"Komentovat","")</f>
        <v/>
      </c>
      <c r="X89" s="406">
        <f t="shared" si="13"/>
        <v>12</v>
      </c>
      <c r="Y89" s="404">
        <f t="shared" si="14"/>
        <v>5600</v>
      </c>
      <c r="Z89" s="407" t="str">
        <f t="shared" si="15"/>
        <v>ORG 5174 - Dopravní telematika ve městě Brně - 3. část</v>
      </c>
      <c r="AA89" s="408" t="str">
        <f t="shared" si="16"/>
        <v>5600222951746121EU</v>
      </c>
      <c r="AB89" s="388"/>
      <c r="AC89" s="409">
        <f t="shared" si="7"/>
        <v>7851</v>
      </c>
      <c r="AD89" s="388"/>
      <c r="AE89" s="388"/>
      <c r="AF89" s="388"/>
    </row>
    <row r="90" spans="1:32" outlineLevel="2" x14ac:dyDescent="0.2">
      <c r="A90" s="391">
        <f t="shared" si="10"/>
        <v>88</v>
      </c>
      <c r="B90" s="392" t="s">
        <v>459</v>
      </c>
      <c r="C90" s="393" t="s">
        <v>502</v>
      </c>
      <c r="D90" s="394">
        <v>5310</v>
      </c>
      <c r="E90" s="393">
        <v>6121</v>
      </c>
      <c r="F90" s="427" t="s">
        <v>490</v>
      </c>
      <c r="G90" s="428" t="s">
        <v>506</v>
      </c>
      <c r="H90" s="394">
        <v>2015</v>
      </c>
      <c r="I90" s="394">
        <v>2020</v>
      </c>
      <c r="J90" s="416">
        <v>924665</v>
      </c>
      <c r="K90" s="396"/>
      <c r="L90" s="397"/>
      <c r="M90" s="398"/>
      <c r="N90" s="398">
        <v>4300</v>
      </c>
      <c r="O90" s="396">
        <v>1940</v>
      </c>
      <c r="P90" s="399">
        <f t="shared" si="11"/>
        <v>0.4511627906976744</v>
      </c>
      <c r="Q90" s="398"/>
      <c r="R90" s="400"/>
      <c r="S90" s="401"/>
      <c r="T90" s="402" t="s">
        <v>461</v>
      </c>
      <c r="U90" s="403"/>
      <c r="V90" s="404">
        <f t="shared" si="12"/>
        <v>920365</v>
      </c>
      <c r="W90" s="405" t="str">
        <f>IF(AND(P90&lt;[3]koment!$F$1,N90&gt;=[3]koment!$F$2),"Komentovat","")</f>
        <v>Komentovat</v>
      </c>
      <c r="X90" s="406">
        <f t="shared" si="13"/>
        <v>13</v>
      </c>
      <c r="Y90" s="404">
        <f t="shared" si="14"/>
        <v>5400</v>
      </c>
      <c r="Z90" s="407" t="str">
        <f t="shared" si="15"/>
        <v>ORG 5310 - Rozvoj dopr.telematiky v letech 2015 až 2020</v>
      </c>
      <c r="AA90" s="408" t="str">
        <f t="shared" si="16"/>
        <v>5400222953106121EU</v>
      </c>
      <c r="AB90" s="388"/>
      <c r="AC90" s="409">
        <f t="shared" si="7"/>
        <v>920365</v>
      </c>
      <c r="AD90" s="388"/>
      <c r="AE90" s="388"/>
      <c r="AF90" s="388"/>
    </row>
    <row r="91" spans="1:32" outlineLevel="2" x14ac:dyDescent="0.2">
      <c r="A91" s="391">
        <f t="shared" si="10"/>
        <v>89</v>
      </c>
      <c r="B91" s="392" t="s">
        <v>459</v>
      </c>
      <c r="C91" s="393" t="s">
        <v>502</v>
      </c>
      <c r="D91" s="394">
        <v>5347</v>
      </c>
      <c r="E91" s="393">
        <v>6122</v>
      </c>
      <c r="F91" s="427" t="s">
        <v>490</v>
      </c>
      <c r="G91" s="412" t="s">
        <v>507</v>
      </c>
      <c r="H91" s="394">
        <v>2016</v>
      </c>
      <c r="I91" s="394">
        <v>2018</v>
      </c>
      <c r="J91" s="396">
        <v>128710</v>
      </c>
      <c r="K91" s="396"/>
      <c r="L91" s="397"/>
      <c r="M91" s="398"/>
      <c r="N91" s="398">
        <v>2500</v>
      </c>
      <c r="O91" s="396">
        <v>2372</v>
      </c>
      <c r="P91" s="399">
        <f t="shared" si="11"/>
        <v>0.94879999999999998</v>
      </c>
      <c r="Q91" s="398"/>
      <c r="R91" s="400"/>
      <c r="S91" s="401"/>
      <c r="T91" s="402" t="s">
        <v>461</v>
      </c>
      <c r="U91" s="403"/>
      <c r="V91" s="404">
        <f t="shared" si="12"/>
        <v>126210</v>
      </c>
      <c r="W91" s="405" t="str">
        <f>IF(AND(P91&lt;[3]koment!$F$1,N91&gt;=[3]koment!$F$2),"Komentovat","")</f>
        <v/>
      </c>
      <c r="X91" s="406">
        <f t="shared" si="13"/>
        <v>13</v>
      </c>
      <c r="Y91" s="404">
        <f t="shared" si="14"/>
        <v>5400</v>
      </c>
      <c r="Z91" s="407" t="str">
        <f t="shared" si="15"/>
        <v>ORG 5347 - Řízení dopravy a sběr dopravních dat</v>
      </c>
      <c r="AA91" s="408" t="str">
        <f t="shared" si="16"/>
        <v>5400222953476122EU</v>
      </c>
      <c r="AB91" s="388"/>
      <c r="AC91" s="409">
        <f t="shared" si="7"/>
        <v>126210</v>
      </c>
      <c r="AD91" s="388"/>
      <c r="AE91" s="388"/>
      <c r="AF91" s="388"/>
    </row>
    <row r="92" spans="1:32" outlineLevel="1" x14ac:dyDescent="0.2">
      <c r="A92" s="391">
        <f t="shared" si="10"/>
        <v>90</v>
      </c>
      <c r="B92" s="392"/>
      <c r="C92" s="424" t="s">
        <v>508</v>
      </c>
      <c r="D92" s="394"/>
      <c r="E92" s="393"/>
      <c r="F92" s="427"/>
      <c r="G92" s="412"/>
      <c r="H92" s="394"/>
      <c r="I92" s="394"/>
      <c r="J92" s="396">
        <f t="shared" ref="J92:O92" si="18">SUBTOTAL(9,J87:J91)</f>
        <v>1203990</v>
      </c>
      <c r="K92" s="396">
        <f t="shared" si="18"/>
        <v>109270</v>
      </c>
      <c r="L92" s="397">
        <f t="shared" si="18"/>
        <v>93913</v>
      </c>
      <c r="M92" s="398">
        <f t="shared" si="18"/>
        <v>4670</v>
      </c>
      <c r="N92" s="398">
        <f t="shared" si="18"/>
        <v>11470</v>
      </c>
      <c r="O92" s="396">
        <f t="shared" si="18"/>
        <v>4709</v>
      </c>
      <c r="P92" s="399">
        <f t="shared" si="11"/>
        <v>0.41054925893635569</v>
      </c>
      <c r="Q92" s="398">
        <f>SUBTOTAL(9,Q87:Q91)</f>
        <v>3000</v>
      </c>
      <c r="R92" s="400">
        <f>SUBTOTAL(9,R87:R91)</f>
        <v>0</v>
      </c>
      <c r="S92" s="401">
        <f>SUBTOTAL(9,S87:S91)</f>
        <v>0</v>
      </c>
      <c r="T92" s="402"/>
      <c r="U92" s="403"/>
      <c r="V92" s="404"/>
      <c r="W92" s="405"/>
      <c r="X92" s="406"/>
      <c r="Y92" s="404" t="str">
        <f>IF($V92=0," ",IF(LEN($B92)=4,$B92*1,$B92))</f>
        <v xml:space="preserve"> </v>
      </c>
      <c r="Z92" s="407">
        <f>IF($Y92=" ",0,"ORG "&amp;$D92&amp;" - "&amp;$G92)</f>
        <v>0</v>
      </c>
      <c r="AA92" s="408" t="str">
        <f>$B92&amp;LEFT($C92,4)&amp;$D92&amp;$E92&amp;$F92</f>
        <v>Celk</v>
      </c>
      <c r="AB92" s="388"/>
      <c r="AC92" s="409"/>
      <c r="AD92" s="388"/>
      <c r="AE92" s="388"/>
      <c r="AF92" s="388"/>
    </row>
    <row r="93" spans="1:32" outlineLevel="2" x14ac:dyDescent="0.2">
      <c r="A93" s="391">
        <f t="shared" si="10"/>
        <v>91</v>
      </c>
      <c r="B93" s="392" t="s">
        <v>459</v>
      </c>
      <c r="C93" s="393" t="s">
        <v>509</v>
      </c>
      <c r="D93" s="394">
        <v>2730</v>
      </c>
      <c r="E93" s="393">
        <v>6121</v>
      </c>
      <c r="F93" s="395"/>
      <c r="G93" s="428" t="s">
        <v>510</v>
      </c>
      <c r="H93" s="394">
        <v>2015</v>
      </c>
      <c r="I93" s="394">
        <v>2016</v>
      </c>
      <c r="J93" s="396">
        <v>3000</v>
      </c>
      <c r="K93" s="396"/>
      <c r="L93" s="397"/>
      <c r="M93" s="398">
        <v>2500</v>
      </c>
      <c r="N93" s="398">
        <v>2500</v>
      </c>
      <c r="O93" s="396">
        <v>2390</v>
      </c>
      <c r="P93" s="399">
        <f t="shared" si="11"/>
        <v>0.95599999999999996</v>
      </c>
      <c r="Q93" s="398"/>
      <c r="R93" s="400"/>
      <c r="S93" s="401"/>
      <c r="T93" s="402" t="s">
        <v>461</v>
      </c>
      <c r="U93" s="403"/>
      <c r="V93" s="404">
        <f t="shared" si="12"/>
        <v>500</v>
      </c>
      <c r="W93" s="405" t="str">
        <f>IF(AND(P93&lt;[3]koment!$F$1,N93&gt;=[3]koment!$F$2),"Komentovat","")</f>
        <v/>
      </c>
      <c r="X93" s="406">
        <f>IF(W93="Komentovat",X91+1,X91)</f>
        <v>13</v>
      </c>
      <c r="Y93" s="404">
        <f t="shared" si="14"/>
        <v>5400</v>
      </c>
      <c r="Z93" s="407" t="str">
        <f t="shared" si="15"/>
        <v>ORG 2730 - Výměna výtahů v tramvajové zastávce Jírova</v>
      </c>
      <c r="AA93" s="408" t="str">
        <f t="shared" si="16"/>
        <v>5400227127306121</v>
      </c>
      <c r="AB93" s="388"/>
      <c r="AC93" s="409">
        <f t="shared" si="7"/>
        <v>500</v>
      </c>
      <c r="AD93" s="388"/>
      <c r="AE93" s="388"/>
      <c r="AF93" s="388"/>
    </row>
    <row r="94" spans="1:32" outlineLevel="2" x14ac:dyDescent="0.2">
      <c r="A94" s="391">
        <f t="shared" si="10"/>
        <v>92</v>
      </c>
      <c r="B94" s="392" t="s">
        <v>459</v>
      </c>
      <c r="C94" s="393" t="s">
        <v>509</v>
      </c>
      <c r="D94" s="394">
        <v>5309</v>
      </c>
      <c r="E94" s="393">
        <v>6121</v>
      </c>
      <c r="F94" s="427" t="s">
        <v>490</v>
      </c>
      <c r="G94" s="394" t="s">
        <v>511</v>
      </c>
      <c r="H94" s="394">
        <v>2016</v>
      </c>
      <c r="I94" s="394">
        <v>2017</v>
      </c>
      <c r="J94" s="396">
        <v>1000</v>
      </c>
      <c r="K94" s="396"/>
      <c r="L94" s="397"/>
      <c r="M94" s="398"/>
      <c r="N94" s="398">
        <v>1000</v>
      </c>
      <c r="O94" s="396"/>
      <c r="P94" s="399">
        <f t="shared" si="11"/>
        <v>0</v>
      </c>
      <c r="Q94" s="398"/>
      <c r="R94" s="400"/>
      <c r="S94" s="401"/>
      <c r="T94" s="402" t="s">
        <v>461</v>
      </c>
      <c r="U94" s="403"/>
      <c r="V94" s="404">
        <f t="shared" si="12"/>
        <v>0</v>
      </c>
      <c r="W94" s="405" t="str">
        <f>IF(AND(P94&lt;[3]koment!$F$1,N94&gt;=[3]koment!$F$2),"Komentovat","")</f>
        <v>Komentovat</v>
      </c>
      <c r="X94" s="406">
        <f t="shared" si="13"/>
        <v>14</v>
      </c>
      <c r="Y94" s="404" t="str">
        <f t="shared" si="14"/>
        <v xml:space="preserve"> </v>
      </c>
      <c r="Z94" s="407">
        <f t="shared" si="15"/>
        <v>0</v>
      </c>
      <c r="AA94" s="408" t="str">
        <f t="shared" si="16"/>
        <v>5400227153096121EU</v>
      </c>
      <c r="AB94" s="388"/>
      <c r="AC94" s="409">
        <f t="shared" si="7"/>
        <v>0</v>
      </c>
      <c r="AD94" s="388"/>
      <c r="AE94" s="388"/>
      <c r="AF94" s="388"/>
    </row>
    <row r="95" spans="1:32" outlineLevel="2" x14ac:dyDescent="0.2">
      <c r="A95" s="391">
        <f t="shared" si="10"/>
        <v>93</v>
      </c>
      <c r="B95" s="392" t="s">
        <v>420</v>
      </c>
      <c r="C95" s="393" t="s">
        <v>509</v>
      </c>
      <c r="D95" s="394">
        <v>5342</v>
      </c>
      <c r="E95" s="393">
        <v>6121</v>
      </c>
      <c r="F95" s="427" t="s">
        <v>490</v>
      </c>
      <c r="G95" s="394" t="s">
        <v>512</v>
      </c>
      <c r="H95" s="394">
        <v>2016</v>
      </c>
      <c r="I95" s="394">
        <v>2020</v>
      </c>
      <c r="J95" s="396">
        <v>213000</v>
      </c>
      <c r="K95" s="396"/>
      <c r="L95" s="397"/>
      <c r="M95" s="398"/>
      <c r="N95" s="398">
        <v>10</v>
      </c>
      <c r="O95" s="396"/>
      <c r="P95" s="399">
        <f t="shared" si="11"/>
        <v>0</v>
      </c>
      <c r="Q95" s="398">
        <v>1000</v>
      </c>
      <c r="R95" s="400"/>
      <c r="S95" s="401"/>
      <c r="T95" s="402" t="s">
        <v>423</v>
      </c>
      <c r="U95" s="403"/>
      <c r="V95" s="404">
        <f t="shared" si="12"/>
        <v>211990</v>
      </c>
      <c r="W95" s="405" t="str">
        <f>IF(AND(P95&lt;[3]koment!$F$1,N95&gt;=[3]koment!$F$2),"Komentovat","")</f>
        <v/>
      </c>
      <c r="X95" s="406">
        <f t="shared" si="13"/>
        <v>14</v>
      </c>
      <c r="Y95" s="404">
        <f t="shared" si="14"/>
        <v>5600</v>
      </c>
      <c r="Z95" s="407" t="str">
        <f t="shared" si="15"/>
        <v>ORG 5342 - Rekonstrukce trolejbusové vozovny Komín</v>
      </c>
      <c r="AA95" s="408" t="str">
        <f t="shared" si="16"/>
        <v>5600227153426121EU</v>
      </c>
      <c r="AB95" s="388"/>
      <c r="AC95" s="409">
        <f t="shared" si="7"/>
        <v>211990</v>
      </c>
      <c r="AD95" s="388"/>
      <c r="AE95" s="388"/>
      <c r="AF95" s="388"/>
    </row>
    <row r="96" spans="1:32" outlineLevel="1" x14ac:dyDescent="0.2">
      <c r="A96" s="391">
        <f t="shared" si="10"/>
        <v>94</v>
      </c>
      <c r="B96" s="392"/>
      <c r="C96" s="424" t="s">
        <v>513</v>
      </c>
      <c r="D96" s="394"/>
      <c r="E96" s="393"/>
      <c r="F96" s="427"/>
      <c r="G96" s="394"/>
      <c r="H96" s="394"/>
      <c r="I96" s="394"/>
      <c r="J96" s="396">
        <f t="shared" ref="J96:O96" si="19">SUBTOTAL(9,J93:J95)</f>
        <v>217000</v>
      </c>
      <c r="K96" s="396">
        <f t="shared" si="19"/>
        <v>0</v>
      </c>
      <c r="L96" s="397">
        <f t="shared" si="19"/>
        <v>0</v>
      </c>
      <c r="M96" s="398">
        <f t="shared" si="19"/>
        <v>2500</v>
      </c>
      <c r="N96" s="398">
        <f t="shared" si="19"/>
        <v>3510</v>
      </c>
      <c r="O96" s="396">
        <f t="shared" si="19"/>
        <v>2390</v>
      </c>
      <c r="P96" s="399">
        <f t="shared" si="11"/>
        <v>0.68091168091168086</v>
      </c>
      <c r="Q96" s="398">
        <f>SUBTOTAL(9,Q93:Q95)</f>
        <v>1000</v>
      </c>
      <c r="R96" s="400">
        <f>SUBTOTAL(9,R93:R95)</f>
        <v>0</v>
      </c>
      <c r="S96" s="401">
        <f>SUBTOTAL(9,S93:S95)</f>
        <v>0</v>
      </c>
      <c r="T96" s="402"/>
      <c r="U96" s="403"/>
      <c r="V96" s="404"/>
      <c r="W96" s="405"/>
      <c r="X96" s="406"/>
      <c r="Y96" s="404" t="str">
        <f>IF($V96=0," ",IF(LEN($B96)=4,$B96*1,$B96))</f>
        <v xml:space="preserve"> </v>
      </c>
      <c r="Z96" s="407">
        <f>IF($Y96=" ",0,"ORG "&amp;$D96&amp;" - "&amp;$G96)</f>
        <v>0</v>
      </c>
      <c r="AA96" s="408" t="str">
        <f>$B96&amp;LEFT($C96,4)&amp;$D96&amp;$E96&amp;$F96</f>
        <v>Celk</v>
      </c>
      <c r="AB96" s="388"/>
      <c r="AC96" s="409"/>
      <c r="AD96" s="388"/>
      <c r="AE96" s="388"/>
      <c r="AF96" s="388"/>
    </row>
    <row r="97" spans="1:32" outlineLevel="2" x14ac:dyDescent="0.2">
      <c r="A97" s="391">
        <f t="shared" si="10"/>
        <v>95</v>
      </c>
      <c r="B97" s="392" t="s">
        <v>459</v>
      </c>
      <c r="C97" s="393" t="s">
        <v>514</v>
      </c>
      <c r="D97" s="394">
        <v>2661</v>
      </c>
      <c r="E97" s="393">
        <v>6313</v>
      </c>
      <c r="F97" s="395"/>
      <c r="G97" s="394" t="s">
        <v>515</v>
      </c>
      <c r="H97" s="394">
        <v>2016</v>
      </c>
      <c r="I97" s="394">
        <v>2017</v>
      </c>
      <c r="J97" s="396">
        <v>5482</v>
      </c>
      <c r="K97" s="396"/>
      <c r="L97" s="397"/>
      <c r="M97" s="398"/>
      <c r="N97" s="398">
        <v>2798</v>
      </c>
      <c r="O97" s="396">
        <v>2798</v>
      </c>
      <c r="P97" s="399">
        <f t="shared" si="11"/>
        <v>1</v>
      </c>
      <c r="Q97" s="398">
        <v>2684</v>
      </c>
      <c r="R97" s="400"/>
      <c r="S97" s="401"/>
      <c r="T97" s="402" t="s">
        <v>461</v>
      </c>
      <c r="U97" s="403"/>
      <c r="V97" s="404">
        <f t="shared" si="12"/>
        <v>0</v>
      </c>
      <c r="W97" s="405" t="str">
        <f>IF(AND(P97&lt;[3]koment!$F$1,N97&gt;=[3]koment!$F$2),"Komentovat","")</f>
        <v/>
      </c>
      <c r="X97" s="406">
        <f>IF(W97="Komentovat",X95+1,X95)</f>
        <v>14</v>
      </c>
      <c r="Y97" s="404" t="str">
        <f t="shared" si="14"/>
        <v xml:space="preserve"> </v>
      </c>
      <c r="Z97" s="407">
        <f t="shared" si="15"/>
        <v>0</v>
      </c>
      <c r="AA97" s="408" t="str">
        <f t="shared" si="16"/>
        <v>5400229926616313</v>
      </c>
      <c r="AB97" s="388"/>
      <c r="AC97" s="409">
        <f t="shared" si="7"/>
        <v>0</v>
      </c>
      <c r="AD97" s="388"/>
      <c r="AE97" s="388"/>
      <c r="AF97" s="388"/>
    </row>
    <row r="98" spans="1:32" outlineLevel="1" x14ac:dyDescent="0.2">
      <c r="A98" s="391">
        <f t="shared" si="10"/>
        <v>96</v>
      </c>
      <c r="B98" s="392"/>
      <c r="C98" s="424" t="s">
        <v>516</v>
      </c>
      <c r="D98" s="394"/>
      <c r="E98" s="393"/>
      <c r="F98" s="395"/>
      <c r="G98" s="412"/>
      <c r="H98" s="394"/>
      <c r="I98" s="394"/>
      <c r="J98" s="396">
        <f t="shared" ref="J98:O98" si="20">SUBTOTAL(9,J97:J97)</f>
        <v>5482</v>
      </c>
      <c r="K98" s="396">
        <f t="shared" si="20"/>
        <v>0</v>
      </c>
      <c r="L98" s="397">
        <f t="shared" si="20"/>
        <v>0</v>
      </c>
      <c r="M98" s="398">
        <f t="shared" si="20"/>
        <v>0</v>
      </c>
      <c r="N98" s="398">
        <f t="shared" si="20"/>
        <v>2798</v>
      </c>
      <c r="O98" s="396">
        <f t="shared" si="20"/>
        <v>2798</v>
      </c>
      <c r="P98" s="399">
        <f t="shared" si="11"/>
        <v>1</v>
      </c>
      <c r="Q98" s="398">
        <f>SUBTOTAL(9,Q97:Q97)</f>
        <v>2684</v>
      </c>
      <c r="R98" s="400">
        <f>SUBTOTAL(9,R97:R97)</f>
        <v>0</v>
      </c>
      <c r="S98" s="401">
        <f>SUBTOTAL(9,S97:S97)</f>
        <v>0</v>
      </c>
      <c r="T98" s="402"/>
      <c r="U98" s="403"/>
      <c r="V98" s="404"/>
      <c r="W98" s="405"/>
      <c r="X98" s="406"/>
      <c r="Y98" s="404" t="str">
        <f>IF($V98=0," ",IF(LEN($B98)=4,$B98*1,$B98))</f>
        <v xml:space="preserve"> </v>
      </c>
      <c r="Z98" s="407">
        <f>IF($Y98=" ",0,"ORG "&amp;$D98&amp;" - "&amp;$G98)</f>
        <v>0</v>
      </c>
      <c r="AA98" s="408" t="str">
        <f>$B98&amp;LEFT($C98,4)&amp;$D98&amp;$E98&amp;$F98</f>
        <v>Celk</v>
      </c>
      <c r="AB98" s="388"/>
      <c r="AC98" s="409"/>
      <c r="AD98" s="388"/>
      <c r="AE98" s="388"/>
      <c r="AF98" s="388"/>
    </row>
    <row r="99" spans="1:32" outlineLevel="2" x14ac:dyDescent="0.2">
      <c r="A99" s="391">
        <f t="shared" si="10"/>
        <v>97</v>
      </c>
      <c r="B99" s="392" t="s">
        <v>420</v>
      </c>
      <c r="C99" s="393" t="s">
        <v>517</v>
      </c>
      <c r="D99" s="430">
        <v>2713</v>
      </c>
      <c r="E99" s="393">
        <v>6121</v>
      </c>
      <c r="F99" s="395">
        <v>49</v>
      </c>
      <c r="G99" s="428" t="s">
        <v>518</v>
      </c>
      <c r="H99" s="394">
        <v>2015</v>
      </c>
      <c r="I99" s="394">
        <v>2022</v>
      </c>
      <c r="J99" s="415">
        <v>80000</v>
      </c>
      <c r="K99" s="396"/>
      <c r="L99" s="397"/>
      <c r="M99" s="416">
        <v>3777</v>
      </c>
      <c r="N99" s="416">
        <v>2530</v>
      </c>
      <c r="O99" s="396">
        <v>2523</v>
      </c>
      <c r="P99" s="399">
        <f t="shared" si="11"/>
        <v>0.99723320158102768</v>
      </c>
      <c r="Q99" s="398">
        <v>330</v>
      </c>
      <c r="R99" s="400">
        <v>19000</v>
      </c>
      <c r="S99" s="401">
        <v>58140</v>
      </c>
      <c r="T99" s="402" t="s">
        <v>519</v>
      </c>
      <c r="U99" s="403"/>
      <c r="V99" s="404">
        <f t="shared" si="12"/>
        <v>0</v>
      </c>
      <c r="W99" s="405" t="str">
        <f>IF(AND(P99&lt;[3]koment!$F$1,N99&gt;=[3]koment!$F$2),"Komentovat","")</f>
        <v/>
      </c>
      <c r="X99" s="406">
        <f>IF(W99="Komentovat",X97+1,X97)</f>
        <v>14</v>
      </c>
      <c r="Y99" s="404" t="str">
        <f t="shared" si="14"/>
        <v xml:space="preserve"> </v>
      </c>
      <c r="Z99" s="407">
        <f t="shared" si="15"/>
        <v>0</v>
      </c>
      <c r="AA99" s="408" t="str">
        <f t="shared" si="16"/>
        <v>560023102713612149</v>
      </c>
      <c r="AB99" s="388"/>
      <c r="AC99" s="409">
        <f t="shared" si="7"/>
        <v>0</v>
      </c>
      <c r="AD99" s="388"/>
      <c r="AE99" s="388"/>
      <c r="AF99" s="388"/>
    </row>
    <row r="100" spans="1:32" outlineLevel="2" x14ac:dyDescent="0.2">
      <c r="A100" s="391">
        <f t="shared" si="10"/>
        <v>98</v>
      </c>
      <c r="B100" s="392" t="s">
        <v>420</v>
      </c>
      <c r="C100" s="393" t="s">
        <v>517</v>
      </c>
      <c r="D100" s="430">
        <v>2714</v>
      </c>
      <c r="E100" s="393">
        <v>6121</v>
      </c>
      <c r="F100" s="395">
        <v>49</v>
      </c>
      <c r="G100" s="428" t="s">
        <v>520</v>
      </c>
      <c r="H100" s="394">
        <v>2015</v>
      </c>
      <c r="I100" s="394">
        <v>2018</v>
      </c>
      <c r="J100" s="415">
        <v>21610</v>
      </c>
      <c r="K100" s="396"/>
      <c r="L100" s="397"/>
      <c r="M100" s="416">
        <v>1750</v>
      </c>
      <c r="N100" s="416">
        <v>0</v>
      </c>
      <c r="O100" s="396"/>
      <c r="P100" s="399" t="str">
        <f t="shared" si="11"/>
        <v xml:space="preserve"> </v>
      </c>
      <c r="Q100" s="398">
        <v>1460</v>
      </c>
      <c r="R100" s="400">
        <v>20150</v>
      </c>
      <c r="S100" s="401"/>
      <c r="T100" s="402" t="s">
        <v>519</v>
      </c>
      <c r="U100" s="403"/>
      <c r="V100" s="404">
        <f t="shared" si="12"/>
        <v>0</v>
      </c>
      <c r="W100" s="405" t="str">
        <f>IF(AND(P100&lt;[3]koment!$F$1,N100&gt;=[3]koment!$F$2),"Komentovat","")</f>
        <v/>
      </c>
      <c r="X100" s="406">
        <f t="shared" si="13"/>
        <v>14</v>
      </c>
      <c r="Y100" s="404" t="str">
        <f t="shared" si="14"/>
        <v xml:space="preserve"> </v>
      </c>
      <c r="Z100" s="407">
        <f t="shared" si="15"/>
        <v>0</v>
      </c>
      <c r="AA100" s="408" t="str">
        <f t="shared" si="16"/>
        <v>560023102714612149</v>
      </c>
      <c r="AB100" s="388"/>
      <c r="AC100" s="409">
        <f t="shared" si="7"/>
        <v>0</v>
      </c>
      <c r="AD100" s="388"/>
      <c r="AE100" s="388"/>
      <c r="AF100" s="388"/>
    </row>
    <row r="101" spans="1:32" outlineLevel="2" x14ac:dyDescent="0.2">
      <c r="A101" s="391">
        <f t="shared" si="10"/>
        <v>99</v>
      </c>
      <c r="B101" s="392" t="s">
        <v>420</v>
      </c>
      <c r="C101" s="433" t="s">
        <v>517</v>
      </c>
      <c r="D101" s="430">
        <v>2732</v>
      </c>
      <c r="E101" s="393">
        <v>6121</v>
      </c>
      <c r="F101" s="395">
        <v>49</v>
      </c>
      <c r="G101" s="426" t="s">
        <v>521</v>
      </c>
      <c r="H101" s="394">
        <v>2015</v>
      </c>
      <c r="I101" s="394">
        <v>2020</v>
      </c>
      <c r="J101" s="415">
        <v>33420</v>
      </c>
      <c r="K101" s="396"/>
      <c r="L101" s="397"/>
      <c r="M101" s="416">
        <v>1800</v>
      </c>
      <c r="N101" s="416">
        <f>1800-1800</f>
        <v>0</v>
      </c>
      <c r="O101" s="396"/>
      <c r="P101" s="399" t="str">
        <f t="shared" si="11"/>
        <v xml:space="preserve"> </v>
      </c>
      <c r="Q101" s="398"/>
      <c r="R101" s="400">
        <v>2000</v>
      </c>
      <c r="S101" s="401">
        <v>31420</v>
      </c>
      <c r="T101" s="402" t="s">
        <v>519</v>
      </c>
      <c r="U101" s="403"/>
      <c r="V101" s="404">
        <f t="shared" si="12"/>
        <v>0</v>
      </c>
      <c r="W101" s="405" t="str">
        <f>IF(AND(P101&lt;[3]koment!$F$1,N101&gt;=[3]koment!$F$2),"Komentovat","")</f>
        <v/>
      </c>
      <c r="X101" s="406">
        <f t="shared" si="13"/>
        <v>14</v>
      </c>
      <c r="Y101" s="404" t="str">
        <f t="shared" si="14"/>
        <v xml:space="preserve"> </v>
      </c>
      <c r="Z101" s="407">
        <f t="shared" si="15"/>
        <v>0</v>
      </c>
      <c r="AA101" s="408" t="str">
        <f t="shared" si="16"/>
        <v>560023102732612149</v>
      </c>
      <c r="AB101" s="388"/>
      <c r="AC101" s="409">
        <f t="shared" si="7"/>
        <v>0</v>
      </c>
      <c r="AD101" s="388"/>
      <c r="AE101" s="388"/>
      <c r="AF101" s="388"/>
    </row>
    <row r="102" spans="1:32" outlineLevel="2" x14ac:dyDescent="0.2">
      <c r="A102" s="391">
        <f t="shared" si="10"/>
        <v>100</v>
      </c>
      <c r="B102" s="392" t="s">
        <v>420</v>
      </c>
      <c r="C102" s="433" t="s">
        <v>517</v>
      </c>
      <c r="D102" s="430">
        <v>2733</v>
      </c>
      <c r="E102" s="393">
        <v>6121</v>
      </c>
      <c r="F102" s="395">
        <v>49</v>
      </c>
      <c r="G102" s="426" t="s">
        <v>522</v>
      </c>
      <c r="H102" s="394">
        <v>2015</v>
      </c>
      <c r="I102" s="394">
        <v>2018</v>
      </c>
      <c r="J102" s="415">
        <v>2327</v>
      </c>
      <c r="K102" s="396"/>
      <c r="L102" s="397"/>
      <c r="M102" s="416">
        <v>400</v>
      </c>
      <c r="N102" s="416">
        <f>400-400</f>
        <v>0</v>
      </c>
      <c r="O102" s="396"/>
      <c r="P102" s="399" t="str">
        <f t="shared" si="11"/>
        <v xml:space="preserve"> </v>
      </c>
      <c r="Q102" s="398">
        <v>200</v>
      </c>
      <c r="R102" s="400">
        <v>2127</v>
      </c>
      <c r="S102" s="401"/>
      <c r="T102" s="402" t="s">
        <v>519</v>
      </c>
      <c r="U102" s="403"/>
      <c r="V102" s="404">
        <f t="shared" si="12"/>
        <v>0</v>
      </c>
      <c r="W102" s="405" t="str">
        <f>IF(AND(P102&lt;[3]koment!$F$1,N102&gt;=[3]koment!$F$2),"Komentovat","")</f>
        <v/>
      </c>
      <c r="X102" s="406">
        <f t="shared" si="13"/>
        <v>14</v>
      </c>
      <c r="Y102" s="404" t="str">
        <f t="shared" si="14"/>
        <v xml:space="preserve"> </v>
      </c>
      <c r="Z102" s="407">
        <f t="shared" si="15"/>
        <v>0</v>
      </c>
      <c r="AA102" s="408" t="str">
        <f t="shared" si="16"/>
        <v>560023102733612149</v>
      </c>
      <c r="AB102" s="388"/>
      <c r="AC102" s="409">
        <f t="shared" si="7"/>
        <v>0</v>
      </c>
      <c r="AD102" s="388"/>
      <c r="AE102" s="388"/>
      <c r="AF102" s="388"/>
    </row>
    <row r="103" spans="1:32" outlineLevel="2" x14ac:dyDescent="0.2">
      <c r="A103" s="391">
        <f t="shared" si="10"/>
        <v>101</v>
      </c>
      <c r="B103" s="392" t="s">
        <v>420</v>
      </c>
      <c r="C103" s="433" t="s">
        <v>517</v>
      </c>
      <c r="D103" s="430">
        <v>2734</v>
      </c>
      <c r="E103" s="393">
        <v>6121</v>
      </c>
      <c r="F103" s="395">
        <v>49</v>
      </c>
      <c r="G103" s="426" t="s">
        <v>523</v>
      </c>
      <c r="H103" s="394">
        <v>2015</v>
      </c>
      <c r="I103" s="394">
        <v>2018</v>
      </c>
      <c r="J103" s="415">
        <v>2913</v>
      </c>
      <c r="K103" s="396"/>
      <c r="L103" s="397"/>
      <c r="M103" s="416">
        <v>320</v>
      </c>
      <c r="N103" s="416">
        <v>0</v>
      </c>
      <c r="O103" s="396"/>
      <c r="P103" s="399" t="str">
        <f t="shared" si="11"/>
        <v xml:space="preserve"> </v>
      </c>
      <c r="Q103" s="398">
        <v>230</v>
      </c>
      <c r="R103" s="400">
        <v>2683</v>
      </c>
      <c r="S103" s="401"/>
      <c r="T103" s="402" t="s">
        <v>519</v>
      </c>
      <c r="U103" s="403"/>
      <c r="V103" s="404">
        <f t="shared" si="12"/>
        <v>0</v>
      </c>
      <c r="W103" s="405" t="str">
        <f>IF(AND(P103&lt;[3]koment!$F$1,N103&gt;=[3]koment!$F$2),"Komentovat","")</f>
        <v/>
      </c>
      <c r="X103" s="406">
        <f t="shared" si="13"/>
        <v>14</v>
      </c>
      <c r="Y103" s="404" t="str">
        <f t="shared" si="14"/>
        <v xml:space="preserve"> </v>
      </c>
      <c r="Z103" s="407">
        <f t="shared" si="15"/>
        <v>0</v>
      </c>
      <c r="AA103" s="408" t="str">
        <f t="shared" si="16"/>
        <v>560023102734612149</v>
      </c>
      <c r="AB103" s="388"/>
      <c r="AC103" s="409">
        <f t="shared" si="7"/>
        <v>0</v>
      </c>
      <c r="AD103" s="388"/>
      <c r="AE103" s="388"/>
      <c r="AF103" s="388"/>
    </row>
    <row r="104" spans="1:32" outlineLevel="2" x14ac:dyDescent="0.2">
      <c r="A104" s="391">
        <f t="shared" si="10"/>
        <v>102</v>
      </c>
      <c r="B104" s="392" t="s">
        <v>420</v>
      </c>
      <c r="C104" s="433" t="s">
        <v>517</v>
      </c>
      <c r="D104" s="430">
        <v>2735</v>
      </c>
      <c r="E104" s="393">
        <v>6121</v>
      </c>
      <c r="F104" s="395">
        <v>49</v>
      </c>
      <c r="G104" s="426" t="s">
        <v>524</v>
      </c>
      <c r="H104" s="394">
        <v>2015</v>
      </c>
      <c r="I104" s="394">
        <v>2018</v>
      </c>
      <c r="J104" s="415">
        <v>5603</v>
      </c>
      <c r="K104" s="396"/>
      <c r="L104" s="397"/>
      <c r="M104" s="416">
        <v>400</v>
      </c>
      <c r="N104" s="416">
        <f>400-400</f>
        <v>0</v>
      </c>
      <c r="O104" s="396"/>
      <c r="P104" s="399" t="str">
        <f t="shared" si="11"/>
        <v xml:space="preserve"> </v>
      </c>
      <c r="Q104" s="398">
        <v>500</v>
      </c>
      <c r="R104" s="400">
        <v>5103</v>
      </c>
      <c r="S104" s="401"/>
      <c r="T104" s="402" t="s">
        <v>519</v>
      </c>
      <c r="U104" s="403"/>
      <c r="V104" s="404">
        <f t="shared" si="12"/>
        <v>0</v>
      </c>
      <c r="W104" s="405" t="str">
        <f>IF(AND(P104&lt;[3]koment!$F$1,N104&gt;=[3]koment!$F$2),"Komentovat","")</f>
        <v/>
      </c>
      <c r="X104" s="406">
        <f t="shared" si="13"/>
        <v>14</v>
      </c>
      <c r="Y104" s="404" t="str">
        <f t="shared" si="14"/>
        <v xml:space="preserve"> </v>
      </c>
      <c r="Z104" s="407">
        <f t="shared" si="15"/>
        <v>0</v>
      </c>
      <c r="AA104" s="408" t="str">
        <f t="shared" si="16"/>
        <v>560023102735612149</v>
      </c>
      <c r="AB104" s="388"/>
      <c r="AC104" s="409">
        <f t="shared" si="7"/>
        <v>0</v>
      </c>
      <c r="AD104" s="388"/>
      <c r="AE104" s="388"/>
      <c r="AF104" s="388"/>
    </row>
    <row r="105" spans="1:32" outlineLevel="2" x14ac:dyDescent="0.2">
      <c r="A105" s="391">
        <f t="shared" si="10"/>
        <v>103</v>
      </c>
      <c r="B105" s="392" t="s">
        <v>420</v>
      </c>
      <c r="C105" s="433" t="s">
        <v>517</v>
      </c>
      <c r="D105" s="430">
        <v>2736</v>
      </c>
      <c r="E105" s="393">
        <v>6121</v>
      </c>
      <c r="F105" s="395">
        <v>49</v>
      </c>
      <c r="G105" s="426" t="s">
        <v>525</v>
      </c>
      <c r="H105" s="394">
        <v>2015</v>
      </c>
      <c r="I105" s="394">
        <v>2021</v>
      </c>
      <c r="J105" s="415">
        <v>9055</v>
      </c>
      <c r="K105" s="396"/>
      <c r="L105" s="397"/>
      <c r="M105" s="416">
        <v>800</v>
      </c>
      <c r="N105" s="416">
        <f>800-800</f>
        <v>0</v>
      </c>
      <c r="O105" s="396"/>
      <c r="P105" s="399" t="str">
        <f t="shared" si="11"/>
        <v xml:space="preserve"> </v>
      </c>
      <c r="Q105" s="398"/>
      <c r="R105" s="400"/>
      <c r="S105" s="401">
        <v>9055</v>
      </c>
      <c r="T105" s="402" t="s">
        <v>519</v>
      </c>
      <c r="U105" s="403"/>
      <c r="V105" s="404">
        <f t="shared" si="12"/>
        <v>0</v>
      </c>
      <c r="W105" s="405" t="str">
        <f>IF(AND(P105&lt;[3]koment!$F$1,N105&gt;=[3]koment!$F$2),"Komentovat","")</f>
        <v/>
      </c>
      <c r="X105" s="406">
        <f t="shared" si="13"/>
        <v>14</v>
      </c>
      <c r="Y105" s="404" t="str">
        <f t="shared" si="14"/>
        <v xml:space="preserve"> </v>
      </c>
      <c r="Z105" s="407">
        <f t="shared" si="15"/>
        <v>0</v>
      </c>
      <c r="AA105" s="408" t="str">
        <f t="shared" si="16"/>
        <v>560023102736612149</v>
      </c>
      <c r="AB105" s="388"/>
      <c r="AC105" s="409">
        <f t="shared" si="7"/>
        <v>0</v>
      </c>
      <c r="AD105" s="388"/>
      <c r="AE105" s="388"/>
      <c r="AF105" s="388"/>
    </row>
    <row r="106" spans="1:32" outlineLevel="2" x14ac:dyDescent="0.2">
      <c r="A106" s="391">
        <f t="shared" si="10"/>
        <v>104</v>
      </c>
      <c r="B106" s="392" t="s">
        <v>420</v>
      </c>
      <c r="C106" s="433" t="s">
        <v>517</v>
      </c>
      <c r="D106" s="430">
        <v>2754</v>
      </c>
      <c r="E106" s="393">
        <v>6121</v>
      </c>
      <c r="F106" s="395">
        <v>49</v>
      </c>
      <c r="G106" s="434" t="s">
        <v>526</v>
      </c>
      <c r="H106" s="394">
        <v>2015</v>
      </c>
      <c r="I106" s="394">
        <v>2019</v>
      </c>
      <c r="J106" s="415">
        <v>5474</v>
      </c>
      <c r="K106" s="396"/>
      <c r="L106" s="397"/>
      <c r="M106" s="416">
        <v>500</v>
      </c>
      <c r="N106" s="416">
        <v>410</v>
      </c>
      <c r="O106" s="396">
        <v>400</v>
      </c>
      <c r="P106" s="399">
        <f t="shared" si="11"/>
        <v>0.97560975609756095</v>
      </c>
      <c r="Q106" s="398"/>
      <c r="R106" s="400">
        <v>4964</v>
      </c>
      <c r="S106" s="401">
        <v>100</v>
      </c>
      <c r="T106" s="402" t="s">
        <v>519</v>
      </c>
      <c r="U106" s="403"/>
      <c r="V106" s="404">
        <f t="shared" si="12"/>
        <v>0</v>
      </c>
      <c r="W106" s="405" t="str">
        <f>IF(AND(P106&lt;[3]koment!$F$1,N106&gt;=[3]koment!$F$2),"Komentovat","")</f>
        <v/>
      </c>
      <c r="X106" s="406">
        <f t="shared" si="13"/>
        <v>14</v>
      </c>
      <c r="Y106" s="404" t="str">
        <f t="shared" si="14"/>
        <v xml:space="preserve"> </v>
      </c>
      <c r="Z106" s="407">
        <f t="shared" si="15"/>
        <v>0</v>
      </c>
      <c r="AA106" s="408" t="str">
        <f t="shared" si="16"/>
        <v>560023102754612149</v>
      </c>
      <c r="AB106" s="388"/>
      <c r="AC106" s="409">
        <f t="shared" si="7"/>
        <v>0</v>
      </c>
      <c r="AD106" s="388"/>
      <c r="AE106" s="388"/>
      <c r="AF106" s="388"/>
    </row>
    <row r="107" spans="1:32" outlineLevel="2" x14ac:dyDescent="0.2">
      <c r="A107" s="391">
        <f t="shared" si="10"/>
        <v>105</v>
      </c>
      <c r="B107" s="392" t="s">
        <v>420</v>
      </c>
      <c r="C107" s="393" t="s">
        <v>517</v>
      </c>
      <c r="D107" s="394">
        <v>2755</v>
      </c>
      <c r="E107" s="393">
        <v>6121</v>
      </c>
      <c r="F107" s="395">
        <v>49</v>
      </c>
      <c r="G107" s="412" t="s">
        <v>527</v>
      </c>
      <c r="H107" s="394">
        <v>2015</v>
      </c>
      <c r="I107" s="394">
        <v>2017</v>
      </c>
      <c r="J107" s="396">
        <v>72121</v>
      </c>
      <c r="K107" s="396"/>
      <c r="L107" s="397">
        <v>0</v>
      </c>
      <c r="M107" s="398">
        <v>9000</v>
      </c>
      <c r="N107" s="398">
        <v>24220</v>
      </c>
      <c r="O107" s="396">
        <v>24216</v>
      </c>
      <c r="P107" s="399">
        <f t="shared" si="11"/>
        <v>0.9998348472336912</v>
      </c>
      <c r="Q107" s="398">
        <v>47901</v>
      </c>
      <c r="R107" s="400"/>
      <c r="S107" s="401"/>
      <c r="T107" s="402" t="s">
        <v>519</v>
      </c>
      <c r="U107" s="403"/>
      <c r="V107" s="404">
        <f t="shared" si="12"/>
        <v>0</v>
      </c>
      <c r="W107" s="405" t="str">
        <f>IF(AND(P107&lt;[3]koment!$F$1,N107&gt;=[3]koment!$F$2),"Komentovat","")</f>
        <v/>
      </c>
      <c r="X107" s="406">
        <f t="shared" si="13"/>
        <v>14</v>
      </c>
      <c r="Y107" s="404" t="str">
        <f t="shared" si="14"/>
        <v xml:space="preserve"> </v>
      </c>
      <c r="Z107" s="407">
        <f t="shared" si="15"/>
        <v>0</v>
      </c>
      <c r="AA107" s="408" t="str">
        <f t="shared" si="16"/>
        <v>560023102755612149</v>
      </c>
      <c r="AB107" s="388"/>
      <c r="AC107" s="409">
        <f t="shared" si="7"/>
        <v>0</v>
      </c>
      <c r="AD107" s="388"/>
      <c r="AE107" s="388"/>
      <c r="AF107" s="388"/>
    </row>
    <row r="108" spans="1:32" outlineLevel="2" x14ac:dyDescent="0.2">
      <c r="A108" s="391">
        <f t="shared" si="10"/>
        <v>106</v>
      </c>
      <c r="B108" s="419" t="s">
        <v>420</v>
      </c>
      <c r="C108" s="393" t="s">
        <v>517</v>
      </c>
      <c r="D108" s="393">
        <v>2774</v>
      </c>
      <c r="E108" s="393">
        <v>6121</v>
      </c>
      <c r="F108" s="435">
        <v>49</v>
      </c>
      <c r="G108" s="436" t="s">
        <v>528</v>
      </c>
      <c r="H108" s="393">
        <v>2014</v>
      </c>
      <c r="I108" s="393">
        <v>2022</v>
      </c>
      <c r="J108" s="437">
        <v>60000</v>
      </c>
      <c r="K108" s="437"/>
      <c r="L108" s="438">
        <v>0</v>
      </c>
      <c r="M108" s="439">
        <v>4000</v>
      </c>
      <c r="N108" s="439">
        <v>412</v>
      </c>
      <c r="O108" s="437"/>
      <c r="P108" s="399">
        <f t="shared" si="11"/>
        <v>0</v>
      </c>
      <c r="Q108" s="439">
        <v>500</v>
      </c>
      <c r="R108" s="400">
        <v>500</v>
      </c>
      <c r="S108" s="401">
        <v>58588</v>
      </c>
      <c r="T108" s="402" t="s">
        <v>519</v>
      </c>
      <c r="U108" s="403"/>
      <c r="V108" s="404">
        <f t="shared" si="12"/>
        <v>0</v>
      </c>
      <c r="W108" s="405" t="str">
        <f>IF(AND(P108&lt;[3]koment!$F$1,N108&gt;=[3]koment!$F$2),"Komentovat","")</f>
        <v/>
      </c>
      <c r="X108" s="406">
        <f t="shared" si="13"/>
        <v>14</v>
      </c>
      <c r="Y108" s="404" t="str">
        <f t="shared" si="14"/>
        <v xml:space="preserve"> </v>
      </c>
      <c r="Z108" s="407">
        <f t="shared" si="15"/>
        <v>0</v>
      </c>
      <c r="AA108" s="408" t="str">
        <f t="shared" si="16"/>
        <v>560023102774612149</v>
      </c>
      <c r="AB108" s="388"/>
      <c r="AC108" s="409">
        <f t="shared" si="7"/>
        <v>0</v>
      </c>
      <c r="AD108" s="388"/>
      <c r="AE108" s="388"/>
      <c r="AF108" s="388"/>
    </row>
    <row r="109" spans="1:32" outlineLevel="2" x14ac:dyDescent="0.2">
      <c r="A109" s="391">
        <f t="shared" si="10"/>
        <v>107</v>
      </c>
      <c r="B109" s="419" t="s">
        <v>420</v>
      </c>
      <c r="C109" s="393" t="s">
        <v>517</v>
      </c>
      <c r="D109" s="393">
        <v>2794</v>
      </c>
      <c r="E109" s="393">
        <v>6121</v>
      </c>
      <c r="F109" s="435">
        <v>49</v>
      </c>
      <c r="G109" s="440" t="s">
        <v>529</v>
      </c>
      <c r="H109" s="393">
        <v>2014</v>
      </c>
      <c r="I109" s="393">
        <v>2018</v>
      </c>
      <c r="J109" s="437">
        <v>4522</v>
      </c>
      <c r="K109" s="437"/>
      <c r="L109" s="438">
        <v>0</v>
      </c>
      <c r="M109" s="398">
        <v>700</v>
      </c>
      <c r="N109" s="398">
        <v>700</v>
      </c>
      <c r="O109" s="437">
        <v>694</v>
      </c>
      <c r="P109" s="399">
        <f t="shared" si="11"/>
        <v>0.99142857142857144</v>
      </c>
      <c r="Q109" s="398">
        <v>10</v>
      </c>
      <c r="R109" s="400">
        <v>3812</v>
      </c>
      <c r="S109" s="401"/>
      <c r="T109" s="402" t="s">
        <v>519</v>
      </c>
      <c r="U109" s="403"/>
      <c r="V109" s="404">
        <f t="shared" si="12"/>
        <v>0</v>
      </c>
      <c r="W109" s="405" t="str">
        <f>IF(AND(P109&lt;[3]koment!$F$1,N109&gt;=[3]koment!$F$2),"Komentovat","")</f>
        <v/>
      </c>
      <c r="X109" s="406">
        <f t="shared" si="13"/>
        <v>14</v>
      </c>
      <c r="Y109" s="404" t="str">
        <f t="shared" si="14"/>
        <v xml:space="preserve"> </v>
      </c>
      <c r="Z109" s="407">
        <f t="shared" si="15"/>
        <v>0</v>
      </c>
      <c r="AA109" s="408" t="str">
        <f t="shared" si="16"/>
        <v>560023102794612149</v>
      </c>
      <c r="AB109" s="388"/>
      <c r="AC109" s="409">
        <f t="shared" si="7"/>
        <v>0</v>
      </c>
      <c r="AD109" s="388"/>
      <c r="AE109" s="388"/>
      <c r="AF109" s="388"/>
    </row>
    <row r="110" spans="1:32" outlineLevel="2" x14ac:dyDescent="0.2">
      <c r="A110" s="391">
        <f t="shared" si="10"/>
        <v>108</v>
      </c>
      <c r="B110" s="392" t="s">
        <v>420</v>
      </c>
      <c r="C110" s="393" t="s">
        <v>517</v>
      </c>
      <c r="D110" s="394">
        <v>2796</v>
      </c>
      <c r="E110" s="393">
        <v>6121</v>
      </c>
      <c r="F110" s="395">
        <v>49</v>
      </c>
      <c r="G110" s="412" t="s">
        <v>530</v>
      </c>
      <c r="H110" s="394">
        <v>2014</v>
      </c>
      <c r="I110" s="394">
        <v>2017</v>
      </c>
      <c r="J110" s="396">
        <v>6830</v>
      </c>
      <c r="K110" s="396">
        <v>0</v>
      </c>
      <c r="L110" s="397">
        <v>715</v>
      </c>
      <c r="M110" s="398"/>
      <c r="N110" s="398">
        <v>3000</v>
      </c>
      <c r="O110" s="396">
        <v>2989</v>
      </c>
      <c r="P110" s="399">
        <f t="shared" si="11"/>
        <v>0.99633333333333329</v>
      </c>
      <c r="Q110" s="398">
        <v>3115</v>
      </c>
      <c r="R110" s="400"/>
      <c r="S110" s="401"/>
      <c r="T110" s="402" t="s">
        <v>519</v>
      </c>
      <c r="U110" s="403"/>
      <c r="V110" s="404">
        <f t="shared" si="12"/>
        <v>0</v>
      </c>
      <c r="W110" s="405" t="str">
        <f>IF(AND(P110&lt;[3]koment!$F$1,N110&gt;=[3]koment!$F$2),"Komentovat","")</f>
        <v/>
      </c>
      <c r="X110" s="406">
        <f t="shared" si="13"/>
        <v>14</v>
      </c>
      <c r="Y110" s="404" t="str">
        <f t="shared" si="14"/>
        <v xml:space="preserve"> </v>
      </c>
      <c r="Z110" s="407">
        <f t="shared" si="15"/>
        <v>0</v>
      </c>
      <c r="AA110" s="408" t="str">
        <f t="shared" si="16"/>
        <v>560023102796612149</v>
      </c>
      <c r="AB110" s="388"/>
      <c r="AC110" s="409">
        <f t="shared" si="7"/>
        <v>0</v>
      </c>
      <c r="AD110" s="388"/>
      <c r="AE110" s="388"/>
      <c r="AF110" s="388"/>
    </row>
    <row r="111" spans="1:32" outlineLevel="2" x14ac:dyDescent="0.2">
      <c r="A111" s="391">
        <f t="shared" si="10"/>
        <v>109</v>
      </c>
      <c r="B111" s="422" t="s">
        <v>420</v>
      </c>
      <c r="C111" s="433" t="s">
        <v>517</v>
      </c>
      <c r="D111" s="393">
        <v>2816</v>
      </c>
      <c r="E111" s="393">
        <v>6121</v>
      </c>
      <c r="F111" s="441">
        <v>49</v>
      </c>
      <c r="G111" s="394" t="s">
        <v>531</v>
      </c>
      <c r="H111" s="423">
        <v>2014</v>
      </c>
      <c r="I111" s="423">
        <v>2016</v>
      </c>
      <c r="J111" s="420">
        <v>2202</v>
      </c>
      <c r="K111" s="420"/>
      <c r="L111" s="420">
        <v>368</v>
      </c>
      <c r="M111" s="421">
        <v>2508</v>
      </c>
      <c r="N111" s="421">
        <v>1834</v>
      </c>
      <c r="O111" s="420">
        <v>1813</v>
      </c>
      <c r="P111" s="399">
        <f t="shared" si="11"/>
        <v>0.98854961832061072</v>
      </c>
      <c r="Q111" s="421"/>
      <c r="R111" s="400"/>
      <c r="S111" s="401"/>
      <c r="T111" s="402" t="s">
        <v>519</v>
      </c>
      <c r="U111" s="403"/>
      <c r="V111" s="404">
        <f t="shared" si="12"/>
        <v>0</v>
      </c>
      <c r="W111" s="405" t="str">
        <f>IF(AND(P111&lt;[3]koment!$F$1,N111&gt;=[3]koment!$F$2),"Komentovat","")</f>
        <v/>
      </c>
      <c r="X111" s="406">
        <f t="shared" si="13"/>
        <v>14</v>
      </c>
      <c r="Y111" s="404" t="str">
        <f t="shared" si="14"/>
        <v xml:space="preserve"> </v>
      </c>
      <c r="Z111" s="407">
        <f t="shared" si="15"/>
        <v>0</v>
      </c>
      <c r="AA111" s="408" t="str">
        <f t="shared" si="16"/>
        <v>560023102816612149</v>
      </c>
      <c r="AB111" s="388"/>
      <c r="AC111" s="409">
        <f t="shared" si="7"/>
        <v>0</v>
      </c>
      <c r="AD111" s="388"/>
      <c r="AE111" s="388"/>
      <c r="AF111" s="388"/>
    </row>
    <row r="112" spans="1:32" outlineLevel="2" x14ac:dyDescent="0.2">
      <c r="A112" s="391">
        <f t="shared" si="10"/>
        <v>110</v>
      </c>
      <c r="B112" s="422" t="s">
        <v>420</v>
      </c>
      <c r="C112" s="433" t="s">
        <v>517</v>
      </c>
      <c r="D112" s="393">
        <v>2817</v>
      </c>
      <c r="E112" s="393">
        <v>6121</v>
      </c>
      <c r="F112" s="441">
        <v>49</v>
      </c>
      <c r="G112" s="394" t="s">
        <v>532</v>
      </c>
      <c r="H112" s="423">
        <v>2014</v>
      </c>
      <c r="I112" s="423">
        <v>2016</v>
      </c>
      <c r="J112" s="420">
        <v>21595</v>
      </c>
      <c r="K112" s="420"/>
      <c r="L112" s="420">
        <v>18283</v>
      </c>
      <c r="M112" s="421">
        <v>3462</v>
      </c>
      <c r="N112" s="421">
        <v>3310</v>
      </c>
      <c r="O112" s="420">
        <v>3282</v>
      </c>
      <c r="P112" s="399">
        <f t="shared" si="11"/>
        <v>0.99154078549848945</v>
      </c>
      <c r="Q112" s="421"/>
      <c r="R112" s="400"/>
      <c r="S112" s="401"/>
      <c r="T112" s="402" t="s">
        <v>519</v>
      </c>
      <c r="U112" s="403"/>
      <c r="V112" s="404">
        <f t="shared" si="12"/>
        <v>2</v>
      </c>
      <c r="W112" s="405" t="str">
        <f>IF(AND(P112&lt;[3]koment!$F$1,N112&gt;=[3]koment!$F$2),"Komentovat","")</f>
        <v/>
      </c>
      <c r="X112" s="406">
        <f t="shared" si="13"/>
        <v>14</v>
      </c>
      <c r="Y112" s="404">
        <f t="shared" si="14"/>
        <v>5600</v>
      </c>
      <c r="Z112" s="407" t="str">
        <f t="shared" si="15"/>
        <v>ORG 2817 - Rozšíření vodojemu Lesná</v>
      </c>
      <c r="AA112" s="408" t="str">
        <f t="shared" si="16"/>
        <v>560023102817612149</v>
      </c>
      <c r="AB112" s="388"/>
      <c r="AC112" s="409">
        <f t="shared" si="7"/>
        <v>2</v>
      </c>
      <c r="AD112" s="388"/>
      <c r="AE112" s="388"/>
      <c r="AF112" s="388"/>
    </row>
    <row r="113" spans="1:32" outlineLevel="2" x14ac:dyDescent="0.2">
      <c r="A113" s="391">
        <f t="shared" si="10"/>
        <v>111</v>
      </c>
      <c r="B113" s="422" t="s">
        <v>420</v>
      </c>
      <c r="C113" s="433" t="s">
        <v>517</v>
      </c>
      <c r="D113" s="393">
        <v>2849</v>
      </c>
      <c r="E113" s="393">
        <v>6121</v>
      </c>
      <c r="F113" s="402">
        <v>49</v>
      </c>
      <c r="G113" s="394" t="s">
        <v>533</v>
      </c>
      <c r="H113" s="423">
        <v>2013</v>
      </c>
      <c r="I113" s="423">
        <v>2019</v>
      </c>
      <c r="J113" s="420">
        <v>4726</v>
      </c>
      <c r="K113" s="420"/>
      <c r="L113" s="397">
        <v>784</v>
      </c>
      <c r="M113" s="421">
        <v>1837</v>
      </c>
      <c r="N113" s="421">
        <v>1795</v>
      </c>
      <c r="O113" s="420">
        <v>1790</v>
      </c>
      <c r="P113" s="399">
        <f t="shared" si="11"/>
        <v>0.99721448467966578</v>
      </c>
      <c r="Q113" s="421">
        <v>0</v>
      </c>
      <c r="R113" s="400"/>
      <c r="S113" s="401">
        <v>2147</v>
      </c>
      <c r="T113" s="402" t="s">
        <v>519</v>
      </c>
      <c r="U113" s="403"/>
      <c r="V113" s="404">
        <f t="shared" si="12"/>
        <v>0</v>
      </c>
      <c r="W113" s="405" t="str">
        <f>IF(AND(P113&lt;[3]koment!$F$1,N113&gt;=[3]koment!$F$2),"Komentovat","")</f>
        <v/>
      </c>
      <c r="X113" s="406">
        <f t="shared" si="13"/>
        <v>14</v>
      </c>
      <c r="Y113" s="404" t="str">
        <f t="shared" si="14"/>
        <v xml:space="preserve"> </v>
      </c>
      <c r="Z113" s="407">
        <f t="shared" si="15"/>
        <v>0</v>
      </c>
      <c r="AA113" s="408" t="str">
        <f t="shared" si="16"/>
        <v>560023102849612149</v>
      </c>
      <c r="AB113" s="388"/>
      <c r="AC113" s="409">
        <f t="shared" si="7"/>
        <v>0</v>
      </c>
      <c r="AD113" s="388"/>
      <c r="AE113" s="388"/>
      <c r="AF113" s="388"/>
    </row>
    <row r="114" spans="1:32" outlineLevel="2" x14ac:dyDescent="0.2">
      <c r="A114" s="391">
        <f t="shared" si="10"/>
        <v>112</v>
      </c>
      <c r="B114" s="422" t="s">
        <v>420</v>
      </c>
      <c r="C114" s="433" t="s">
        <v>517</v>
      </c>
      <c r="D114" s="393">
        <v>2882</v>
      </c>
      <c r="E114" s="393">
        <v>6121</v>
      </c>
      <c r="F114" s="441">
        <v>49</v>
      </c>
      <c r="G114" s="394" t="s">
        <v>534</v>
      </c>
      <c r="H114" s="393">
        <v>2013</v>
      </c>
      <c r="I114" s="393">
        <v>2021</v>
      </c>
      <c r="J114" s="420">
        <v>15700</v>
      </c>
      <c r="K114" s="420"/>
      <c r="L114" s="397">
        <v>817</v>
      </c>
      <c r="M114" s="421">
        <v>600</v>
      </c>
      <c r="N114" s="421">
        <v>0</v>
      </c>
      <c r="O114" s="420"/>
      <c r="P114" s="399" t="str">
        <f t="shared" si="11"/>
        <v xml:space="preserve"> </v>
      </c>
      <c r="Q114" s="421">
        <v>50</v>
      </c>
      <c r="R114" s="400">
        <v>50</v>
      </c>
      <c r="S114" s="401">
        <v>14783</v>
      </c>
      <c r="T114" s="402" t="s">
        <v>519</v>
      </c>
      <c r="U114" s="403"/>
      <c r="V114" s="404">
        <f t="shared" si="12"/>
        <v>0</v>
      </c>
      <c r="W114" s="405" t="str">
        <f>IF(AND(P114&lt;[3]koment!$F$1,N114&gt;=[3]koment!$F$2),"Komentovat","")</f>
        <v/>
      </c>
      <c r="X114" s="406">
        <f t="shared" si="13"/>
        <v>14</v>
      </c>
      <c r="Y114" s="404" t="str">
        <f t="shared" si="14"/>
        <v xml:space="preserve"> </v>
      </c>
      <c r="Z114" s="407">
        <f t="shared" si="15"/>
        <v>0</v>
      </c>
      <c r="AA114" s="408" t="str">
        <f t="shared" si="16"/>
        <v>560023102882612149</v>
      </c>
      <c r="AB114" s="388"/>
      <c r="AC114" s="409">
        <f t="shared" si="7"/>
        <v>0</v>
      </c>
      <c r="AD114" s="388"/>
      <c r="AE114" s="388"/>
      <c r="AF114" s="388"/>
    </row>
    <row r="115" spans="1:32" outlineLevel="2" x14ac:dyDescent="0.2">
      <c r="A115" s="391">
        <f t="shared" si="10"/>
        <v>113</v>
      </c>
      <c r="B115" s="422" t="s">
        <v>420</v>
      </c>
      <c r="C115" s="433" t="s">
        <v>517</v>
      </c>
      <c r="D115" s="393">
        <v>2917</v>
      </c>
      <c r="E115" s="393">
        <v>6121</v>
      </c>
      <c r="F115" s="441">
        <v>49</v>
      </c>
      <c r="G115" s="394" t="s">
        <v>535</v>
      </c>
      <c r="H115" s="393">
        <v>2012</v>
      </c>
      <c r="I115" s="393">
        <v>2017</v>
      </c>
      <c r="J115" s="420">
        <v>5390</v>
      </c>
      <c r="K115" s="420"/>
      <c r="L115" s="397">
        <v>13</v>
      </c>
      <c r="M115" s="421">
        <v>5377</v>
      </c>
      <c r="N115" s="421">
        <v>1920</v>
      </c>
      <c r="O115" s="420">
        <v>1914</v>
      </c>
      <c r="P115" s="399">
        <f t="shared" si="11"/>
        <v>0.99687499999999996</v>
      </c>
      <c r="Q115" s="421">
        <v>2831</v>
      </c>
      <c r="R115" s="400"/>
      <c r="S115" s="401"/>
      <c r="T115" s="402" t="s">
        <v>519</v>
      </c>
      <c r="U115" s="403"/>
      <c r="V115" s="404">
        <f t="shared" si="12"/>
        <v>626</v>
      </c>
      <c r="W115" s="405" t="str">
        <f>IF(AND(P115&lt;[3]koment!$F$1,N115&gt;=[3]koment!$F$2),"Komentovat","")</f>
        <v/>
      </c>
      <c r="X115" s="406">
        <f t="shared" si="13"/>
        <v>14</v>
      </c>
      <c r="Y115" s="404">
        <f t="shared" si="14"/>
        <v>5600</v>
      </c>
      <c r="Z115" s="407" t="str">
        <f t="shared" si="15"/>
        <v>ORG 2917 - Modřická - výstavba vodovodu DN 200</v>
      </c>
      <c r="AA115" s="408" t="str">
        <f t="shared" si="16"/>
        <v>560023102917612149</v>
      </c>
      <c r="AB115" s="388"/>
      <c r="AC115" s="409">
        <f t="shared" si="7"/>
        <v>626</v>
      </c>
      <c r="AD115" s="388"/>
      <c r="AE115" s="388"/>
      <c r="AF115" s="388"/>
    </row>
    <row r="116" spans="1:32" outlineLevel="2" x14ac:dyDescent="0.2">
      <c r="A116" s="391">
        <f t="shared" si="10"/>
        <v>114</v>
      </c>
      <c r="B116" s="419">
        <v>5600</v>
      </c>
      <c r="C116" s="433" t="s">
        <v>517</v>
      </c>
      <c r="D116" s="393">
        <v>2953</v>
      </c>
      <c r="E116" s="393">
        <v>6121</v>
      </c>
      <c r="F116" s="402">
        <v>49</v>
      </c>
      <c r="G116" s="394" t="s">
        <v>536</v>
      </c>
      <c r="H116" s="393">
        <v>2011</v>
      </c>
      <c r="I116" s="393">
        <v>2019</v>
      </c>
      <c r="J116" s="420">
        <v>25256</v>
      </c>
      <c r="K116" s="420"/>
      <c r="L116" s="397">
        <v>287</v>
      </c>
      <c r="M116" s="421">
        <v>400</v>
      </c>
      <c r="N116" s="421">
        <v>0</v>
      </c>
      <c r="O116" s="420"/>
      <c r="P116" s="399" t="str">
        <f t="shared" si="11"/>
        <v xml:space="preserve"> </v>
      </c>
      <c r="Q116" s="421">
        <v>400</v>
      </c>
      <c r="R116" s="400">
        <v>100</v>
      </c>
      <c r="S116" s="401">
        <v>24469</v>
      </c>
      <c r="T116" s="402" t="s">
        <v>519</v>
      </c>
      <c r="U116" s="403"/>
      <c r="V116" s="404">
        <f t="shared" si="12"/>
        <v>0</v>
      </c>
      <c r="W116" s="405" t="str">
        <f>IF(AND(P116&lt;[3]koment!$F$1,N116&gt;=[3]koment!$F$2),"Komentovat","")</f>
        <v/>
      </c>
      <c r="X116" s="406">
        <f t="shared" si="13"/>
        <v>14</v>
      </c>
      <c r="Y116" s="404" t="str">
        <f t="shared" si="14"/>
        <v xml:space="preserve"> </v>
      </c>
      <c r="Z116" s="407">
        <f t="shared" si="15"/>
        <v>0</v>
      </c>
      <c r="AA116" s="408" t="str">
        <f t="shared" si="16"/>
        <v>560023102953612149</v>
      </c>
      <c r="AB116" s="388"/>
      <c r="AC116" s="409">
        <f t="shared" si="7"/>
        <v>0</v>
      </c>
      <c r="AD116" s="388"/>
      <c r="AE116" s="388"/>
      <c r="AF116" s="388"/>
    </row>
    <row r="117" spans="1:32" outlineLevel="2" x14ac:dyDescent="0.2">
      <c r="A117" s="391">
        <f t="shared" si="10"/>
        <v>115</v>
      </c>
      <c r="B117" s="392" t="s">
        <v>420</v>
      </c>
      <c r="C117" s="393" t="s">
        <v>517</v>
      </c>
      <c r="D117" s="394">
        <v>4052</v>
      </c>
      <c r="E117" s="393">
        <v>6121</v>
      </c>
      <c r="F117" s="395">
        <v>49</v>
      </c>
      <c r="G117" s="394" t="s">
        <v>537</v>
      </c>
      <c r="H117" s="394">
        <v>1996</v>
      </c>
      <c r="I117" s="394">
        <v>2022</v>
      </c>
      <c r="J117" s="396"/>
      <c r="K117" s="396"/>
      <c r="L117" s="397"/>
      <c r="M117" s="398"/>
      <c r="N117" s="398">
        <v>350</v>
      </c>
      <c r="O117" s="396">
        <v>313</v>
      </c>
      <c r="P117" s="399">
        <f t="shared" si="11"/>
        <v>0.89428571428571424</v>
      </c>
      <c r="Q117" s="398"/>
      <c r="R117" s="400"/>
      <c r="S117" s="401"/>
      <c r="T117" s="402" t="s">
        <v>519</v>
      </c>
      <c r="U117" s="403"/>
      <c r="V117" s="404">
        <f t="shared" si="12"/>
        <v>-350</v>
      </c>
      <c r="W117" s="405" t="str">
        <f>IF(AND(P117&lt;[3]koment!$F$1,N117&gt;=[3]koment!$F$2),"Komentovat","")</f>
        <v/>
      </c>
      <c r="X117" s="406">
        <f t="shared" si="13"/>
        <v>14</v>
      </c>
      <c r="Y117" s="404">
        <f t="shared" si="14"/>
        <v>5600</v>
      </c>
      <c r="Z117" s="407" t="str">
        <f t="shared" si="15"/>
        <v>ORG 4052 - Čerpací stanice - rekonstrukce armatur a strojů</v>
      </c>
      <c r="AA117" s="408" t="str">
        <f t="shared" si="16"/>
        <v>560023104052612149</v>
      </c>
      <c r="AB117" s="388"/>
      <c r="AC117" s="409">
        <f t="shared" si="7"/>
        <v>-350</v>
      </c>
      <c r="AD117" s="388"/>
      <c r="AE117" s="388"/>
      <c r="AF117" s="388"/>
    </row>
    <row r="118" spans="1:32" outlineLevel="2" x14ac:dyDescent="0.2">
      <c r="A118" s="391">
        <f t="shared" si="10"/>
        <v>116</v>
      </c>
      <c r="B118" s="422" t="s">
        <v>420</v>
      </c>
      <c r="C118" s="433" t="s">
        <v>517</v>
      </c>
      <c r="D118" s="393">
        <v>4052</v>
      </c>
      <c r="E118" s="393">
        <v>6122</v>
      </c>
      <c r="F118" s="402">
        <v>49</v>
      </c>
      <c r="G118" s="394" t="s">
        <v>537</v>
      </c>
      <c r="H118" s="423">
        <v>1996</v>
      </c>
      <c r="I118" s="393">
        <v>2022</v>
      </c>
      <c r="J118" s="420">
        <v>108988</v>
      </c>
      <c r="K118" s="420"/>
      <c r="L118" s="397">
        <v>77814</v>
      </c>
      <c r="M118" s="421">
        <v>5000</v>
      </c>
      <c r="N118" s="421">
        <v>4650</v>
      </c>
      <c r="O118" s="420">
        <v>4034</v>
      </c>
      <c r="P118" s="399">
        <f t="shared" si="11"/>
        <v>0.86752688172043013</v>
      </c>
      <c r="Q118" s="421">
        <v>5000</v>
      </c>
      <c r="R118" s="400">
        <v>5000</v>
      </c>
      <c r="S118" s="401">
        <v>16174</v>
      </c>
      <c r="T118" s="402" t="s">
        <v>519</v>
      </c>
      <c r="U118" s="403"/>
      <c r="V118" s="404">
        <f t="shared" si="12"/>
        <v>350</v>
      </c>
      <c r="W118" s="405" t="str">
        <f>IF(AND(P118&lt;[3]koment!$F$1,N118&gt;=[3]koment!$F$2),"Komentovat","")</f>
        <v/>
      </c>
      <c r="X118" s="406">
        <f t="shared" si="13"/>
        <v>14</v>
      </c>
      <c r="Y118" s="404">
        <f t="shared" si="14"/>
        <v>5600</v>
      </c>
      <c r="Z118" s="407" t="str">
        <f t="shared" si="15"/>
        <v>ORG 4052 - Čerpací stanice - rekonstrukce armatur a strojů</v>
      </c>
      <c r="AA118" s="408" t="str">
        <f t="shared" si="16"/>
        <v>560023104052612249</v>
      </c>
      <c r="AB118" s="388"/>
      <c r="AC118" s="409">
        <f t="shared" si="7"/>
        <v>350</v>
      </c>
      <c r="AD118" s="388"/>
      <c r="AE118" s="388"/>
      <c r="AF118" s="388"/>
    </row>
    <row r="119" spans="1:32" outlineLevel="2" x14ac:dyDescent="0.2">
      <c r="A119" s="391">
        <f t="shared" si="10"/>
        <v>117</v>
      </c>
      <c r="B119" s="422" t="s">
        <v>420</v>
      </c>
      <c r="C119" s="433" t="s">
        <v>517</v>
      </c>
      <c r="D119" s="393">
        <v>4193</v>
      </c>
      <c r="E119" s="393">
        <v>6121</v>
      </c>
      <c r="F119" s="402">
        <v>49</v>
      </c>
      <c r="G119" s="394" t="s">
        <v>538</v>
      </c>
      <c r="H119" s="423">
        <v>1998</v>
      </c>
      <c r="I119" s="423">
        <v>2022</v>
      </c>
      <c r="J119" s="420">
        <v>251230</v>
      </c>
      <c r="K119" s="420"/>
      <c r="L119" s="397">
        <v>208418</v>
      </c>
      <c r="M119" s="421">
        <v>3100</v>
      </c>
      <c r="N119" s="421">
        <v>600</v>
      </c>
      <c r="O119" s="420">
        <v>592</v>
      </c>
      <c r="P119" s="399">
        <f t="shared" si="11"/>
        <v>0.98666666666666669</v>
      </c>
      <c r="Q119" s="421">
        <v>0</v>
      </c>
      <c r="R119" s="400"/>
      <c r="S119" s="401">
        <f>35741+971</f>
        <v>36712</v>
      </c>
      <c r="T119" s="402" t="s">
        <v>519</v>
      </c>
      <c r="U119" s="403"/>
      <c r="V119" s="404">
        <f t="shared" si="12"/>
        <v>5500</v>
      </c>
      <c r="W119" s="405" t="str">
        <f>IF(AND(P119&lt;[3]koment!$F$1,N119&gt;=[3]koment!$F$2),"Komentovat","")</f>
        <v/>
      </c>
      <c r="X119" s="406">
        <f t="shared" si="13"/>
        <v>14</v>
      </c>
      <c r="Y119" s="404">
        <f t="shared" si="14"/>
        <v>5600</v>
      </c>
      <c r="Z119" s="407" t="str">
        <f t="shared" si="15"/>
        <v>ORG 4193 - Provozní budova BVK ÚV Pisárky, rekonstrukce objektů</v>
      </c>
      <c r="AA119" s="408" t="str">
        <f t="shared" si="16"/>
        <v>560023104193612149</v>
      </c>
      <c r="AB119" s="388"/>
      <c r="AC119" s="409">
        <f t="shared" si="7"/>
        <v>5500</v>
      </c>
      <c r="AD119" s="388"/>
      <c r="AE119" s="388"/>
      <c r="AF119" s="388"/>
    </row>
    <row r="120" spans="1:32" outlineLevel="1" x14ac:dyDescent="0.2">
      <c r="A120" s="391">
        <f t="shared" si="10"/>
        <v>118</v>
      </c>
      <c r="B120" s="422"/>
      <c r="C120" s="442" t="s">
        <v>539</v>
      </c>
      <c r="D120" s="393"/>
      <c r="E120" s="393"/>
      <c r="F120" s="402"/>
      <c r="G120" s="394"/>
      <c r="H120" s="423"/>
      <c r="I120" s="423"/>
      <c r="J120" s="420">
        <f t="shared" ref="J120:O120" si="21">SUBTOTAL(9,J99:J119)</f>
        <v>738962</v>
      </c>
      <c r="K120" s="420">
        <f t="shared" si="21"/>
        <v>0</v>
      </c>
      <c r="L120" s="397">
        <f t="shared" si="21"/>
        <v>307499</v>
      </c>
      <c r="M120" s="421">
        <f t="shared" si="21"/>
        <v>45731</v>
      </c>
      <c r="N120" s="421">
        <f t="shared" si="21"/>
        <v>45731</v>
      </c>
      <c r="O120" s="420">
        <f t="shared" si="21"/>
        <v>44560</v>
      </c>
      <c r="P120" s="399">
        <f t="shared" si="11"/>
        <v>0.97439373728980339</v>
      </c>
      <c r="Q120" s="421">
        <f>SUBTOTAL(9,Q99:Q119)</f>
        <v>62527</v>
      </c>
      <c r="R120" s="400">
        <f>SUBTOTAL(9,R99:R119)</f>
        <v>65489</v>
      </c>
      <c r="S120" s="401">
        <f>SUBTOTAL(9,S99:S119)</f>
        <v>251588</v>
      </c>
      <c r="T120" s="402"/>
      <c r="U120" s="403"/>
      <c r="V120" s="404"/>
      <c r="W120" s="405"/>
      <c r="X120" s="406"/>
      <c r="Y120" s="404" t="str">
        <f>IF($V120=0," ",IF(LEN($B120)=4,$B120*1,$B120))</f>
        <v xml:space="preserve"> </v>
      </c>
      <c r="Z120" s="407">
        <f>IF($Y120=" ",0,"ORG "&amp;$D120&amp;" - "&amp;$G120)</f>
        <v>0</v>
      </c>
      <c r="AA120" s="408" t="str">
        <f>$B120&amp;LEFT($C120,4)&amp;$D120&amp;$E120&amp;$F120</f>
        <v>Celk</v>
      </c>
      <c r="AB120" s="388"/>
      <c r="AC120" s="409"/>
      <c r="AD120" s="388"/>
      <c r="AE120" s="388"/>
      <c r="AF120" s="388"/>
    </row>
    <row r="121" spans="1:32" outlineLevel="2" x14ac:dyDescent="0.2">
      <c r="A121" s="391">
        <f t="shared" si="10"/>
        <v>119</v>
      </c>
      <c r="B121" s="392">
        <v>5600</v>
      </c>
      <c r="C121" s="393" t="s">
        <v>540</v>
      </c>
      <c r="D121" s="394">
        <v>2704</v>
      </c>
      <c r="E121" s="393">
        <v>6121</v>
      </c>
      <c r="F121" s="395">
        <v>49</v>
      </c>
      <c r="G121" s="394" t="s">
        <v>541</v>
      </c>
      <c r="H121" s="394">
        <v>2015</v>
      </c>
      <c r="I121" s="394">
        <v>2019</v>
      </c>
      <c r="J121" s="396">
        <v>22240</v>
      </c>
      <c r="K121" s="396"/>
      <c r="L121" s="397"/>
      <c r="M121" s="398">
        <v>900</v>
      </c>
      <c r="N121" s="398">
        <v>0</v>
      </c>
      <c r="O121" s="396"/>
      <c r="P121" s="399" t="str">
        <f t="shared" si="11"/>
        <v xml:space="preserve"> </v>
      </c>
      <c r="Q121" s="398">
        <v>2000</v>
      </c>
      <c r="R121" s="400">
        <v>20040</v>
      </c>
      <c r="S121" s="401">
        <v>200</v>
      </c>
      <c r="T121" s="402" t="s">
        <v>519</v>
      </c>
      <c r="U121" s="403"/>
      <c r="V121" s="404">
        <f t="shared" si="12"/>
        <v>0</v>
      </c>
      <c r="W121" s="405" t="str">
        <f>IF(AND(P121&lt;[3]koment!$F$1,N121&gt;=[3]koment!$F$2),"Komentovat","")</f>
        <v/>
      </c>
      <c r="X121" s="406">
        <f>IF(W121="Komentovat",X119+1,X119)</f>
        <v>14</v>
      </c>
      <c r="Y121" s="404" t="str">
        <f t="shared" si="14"/>
        <v xml:space="preserve"> </v>
      </c>
      <c r="Z121" s="407">
        <f t="shared" si="15"/>
        <v>0</v>
      </c>
      <c r="AA121" s="408" t="str">
        <f t="shared" si="16"/>
        <v>560023212704612149</v>
      </c>
      <c r="AB121" s="388"/>
      <c r="AC121" s="409">
        <f t="shared" si="7"/>
        <v>0</v>
      </c>
      <c r="AD121" s="388"/>
      <c r="AE121" s="388"/>
      <c r="AF121" s="388"/>
    </row>
    <row r="122" spans="1:32" outlineLevel="2" x14ac:dyDescent="0.2">
      <c r="A122" s="391">
        <f t="shared" si="10"/>
        <v>120</v>
      </c>
      <c r="B122" s="392">
        <v>5600</v>
      </c>
      <c r="C122" s="393" t="s">
        <v>540</v>
      </c>
      <c r="D122" s="394">
        <v>2705</v>
      </c>
      <c r="E122" s="393">
        <v>6121</v>
      </c>
      <c r="F122" s="395">
        <v>49</v>
      </c>
      <c r="G122" s="394" t="s">
        <v>542</v>
      </c>
      <c r="H122" s="394">
        <v>2015</v>
      </c>
      <c r="I122" s="394">
        <v>2020</v>
      </c>
      <c r="J122" s="396">
        <v>12000</v>
      </c>
      <c r="K122" s="396"/>
      <c r="L122" s="397"/>
      <c r="M122" s="398">
        <v>600</v>
      </c>
      <c r="N122" s="398">
        <v>10</v>
      </c>
      <c r="O122" s="396"/>
      <c r="P122" s="399">
        <f t="shared" si="11"/>
        <v>0</v>
      </c>
      <c r="Q122" s="398">
        <v>11990</v>
      </c>
      <c r="R122" s="400"/>
      <c r="S122" s="401"/>
      <c r="T122" s="402" t="s">
        <v>519</v>
      </c>
      <c r="U122" s="403"/>
      <c r="V122" s="404">
        <f t="shared" si="12"/>
        <v>0</v>
      </c>
      <c r="W122" s="405" t="str">
        <f>IF(AND(P122&lt;[3]koment!$F$1,N122&gt;=[3]koment!$F$2),"Komentovat","")</f>
        <v/>
      </c>
      <c r="X122" s="406">
        <f t="shared" si="13"/>
        <v>14</v>
      </c>
      <c r="Y122" s="404" t="str">
        <f t="shared" si="14"/>
        <v xml:space="preserve"> </v>
      </c>
      <c r="Z122" s="407">
        <f t="shared" si="15"/>
        <v>0</v>
      </c>
      <c r="AA122" s="408" t="str">
        <f t="shared" si="16"/>
        <v>560023212705612149</v>
      </c>
      <c r="AB122" s="388"/>
      <c r="AC122" s="409">
        <f t="shared" si="7"/>
        <v>0</v>
      </c>
      <c r="AD122" s="388"/>
      <c r="AE122" s="388"/>
      <c r="AF122" s="388"/>
    </row>
    <row r="123" spans="1:32" outlineLevel="2" x14ac:dyDescent="0.2">
      <c r="A123" s="391">
        <f t="shared" si="10"/>
        <v>121</v>
      </c>
      <c r="B123" s="392" t="s">
        <v>420</v>
      </c>
      <c r="C123" s="393" t="s">
        <v>540</v>
      </c>
      <c r="D123" s="394">
        <v>2708</v>
      </c>
      <c r="E123" s="393">
        <v>6121</v>
      </c>
      <c r="F123" s="395">
        <v>49</v>
      </c>
      <c r="G123" s="394" t="s">
        <v>543</v>
      </c>
      <c r="H123" s="394">
        <v>2015</v>
      </c>
      <c r="I123" s="394">
        <v>2022</v>
      </c>
      <c r="J123" s="396">
        <v>1858800</v>
      </c>
      <c r="K123" s="396"/>
      <c r="L123" s="397">
        <v>36618</v>
      </c>
      <c r="M123" s="398">
        <v>58000</v>
      </c>
      <c r="N123" s="398">
        <v>61605</v>
      </c>
      <c r="O123" s="396">
        <v>554</v>
      </c>
      <c r="P123" s="399">
        <f t="shared" si="11"/>
        <v>8.9927765603441279E-3</v>
      </c>
      <c r="Q123" s="398">
        <v>30000</v>
      </c>
      <c r="R123" s="400">
        <v>2000</v>
      </c>
      <c r="S123" s="401">
        <v>1726182</v>
      </c>
      <c r="T123" s="402" t="s">
        <v>519</v>
      </c>
      <c r="U123" s="403"/>
      <c r="V123" s="404">
        <f t="shared" si="12"/>
        <v>2395</v>
      </c>
      <c r="W123" s="405" t="str">
        <f>IF(AND(P123&lt;[3]koment!$F$1,N123&gt;=[3]koment!$F$2),"Komentovat","")</f>
        <v>Komentovat</v>
      </c>
      <c r="X123" s="406">
        <f t="shared" si="13"/>
        <v>15</v>
      </c>
      <c r="Y123" s="404">
        <f t="shared" si="14"/>
        <v>5600</v>
      </c>
      <c r="Z123" s="407" t="str">
        <f t="shared" si="15"/>
        <v>ORG 2708 - Dostavba kanalizace v Brně II.</v>
      </c>
      <c r="AA123" s="408" t="str">
        <f t="shared" si="16"/>
        <v>560023212708612149</v>
      </c>
      <c r="AB123" s="388"/>
      <c r="AC123" s="409">
        <f t="shared" si="7"/>
        <v>2395</v>
      </c>
      <c r="AD123" s="388"/>
      <c r="AE123" s="388"/>
      <c r="AF123" s="388"/>
    </row>
    <row r="124" spans="1:32" outlineLevel="2" x14ac:dyDescent="0.2">
      <c r="A124" s="391">
        <f t="shared" si="10"/>
        <v>122</v>
      </c>
      <c r="B124" s="392" t="s">
        <v>420</v>
      </c>
      <c r="C124" s="393" t="s">
        <v>540</v>
      </c>
      <c r="D124" s="394">
        <v>2708</v>
      </c>
      <c r="E124" s="393">
        <v>6130</v>
      </c>
      <c r="F124" s="395">
        <v>49</v>
      </c>
      <c r="G124" s="394" t="s">
        <v>543</v>
      </c>
      <c r="H124" s="394">
        <v>2015</v>
      </c>
      <c r="I124" s="394">
        <v>2022</v>
      </c>
      <c r="J124" s="396"/>
      <c r="K124" s="396"/>
      <c r="L124" s="397"/>
      <c r="M124" s="398"/>
      <c r="N124" s="398">
        <v>442</v>
      </c>
      <c r="O124" s="396">
        <v>442</v>
      </c>
      <c r="P124" s="399">
        <f t="shared" si="11"/>
        <v>1</v>
      </c>
      <c r="Q124" s="398"/>
      <c r="R124" s="400"/>
      <c r="S124" s="401"/>
      <c r="T124" s="402" t="s">
        <v>519</v>
      </c>
      <c r="U124" s="403"/>
      <c r="V124" s="404">
        <f t="shared" si="12"/>
        <v>-442</v>
      </c>
      <c r="W124" s="405" t="str">
        <f>IF(AND(P124&lt;[3]koment!$F$1,N124&gt;=[3]koment!$F$2),"Komentovat","")</f>
        <v/>
      </c>
      <c r="X124" s="406">
        <f t="shared" si="13"/>
        <v>15</v>
      </c>
      <c r="Y124" s="404">
        <f t="shared" si="14"/>
        <v>5600</v>
      </c>
      <c r="Z124" s="407" t="str">
        <f t="shared" si="15"/>
        <v>ORG 2708 - Dostavba kanalizace v Brně II.</v>
      </c>
      <c r="AA124" s="408" t="str">
        <f t="shared" si="16"/>
        <v>560023212708613049</v>
      </c>
      <c r="AB124" s="388"/>
      <c r="AC124" s="409">
        <f t="shared" si="7"/>
        <v>-442</v>
      </c>
      <c r="AD124" s="388"/>
      <c r="AE124" s="388"/>
      <c r="AF124" s="388"/>
    </row>
    <row r="125" spans="1:32" outlineLevel="2" x14ac:dyDescent="0.2">
      <c r="A125" s="391">
        <f t="shared" si="10"/>
        <v>123</v>
      </c>
      <c r="B125" s="392">
        <v>5600</v>
      </c>
      <c r="C125" s="393" t="s">
        <v>540</v>
      </c>
      <c r="D125" s="394">
        <v>2716</v>
      </c>
      <c r="E125" s="393">
        <v>6121</v>
      </c>
      <c r="F125" s="395">
        <v>49</v>
      </c>
      <c r="G125" s="394" t="s">
        <v>544</v>
      </c>
      <c r="H125" s="394">
        <v>2015</v>
      </c>
      <c r="I125" s="394">
        <v>2022</v>
      </c>
      <c r="J125" s="396">
        <v>34530</v>
      </c>
      <c r="K125" s="396"/>
      <c r="L125" s="397"/>
      <c r="M125" s="398">
        <v>1000</v>
      </c>
      <c r="N125" s="398">
        <v>0</v>
      </c>
      <c r="O125" s="396"/>
      <c r="P125" s="399" t="str">
        <f t="shared" si="11"/>
        <v xml:space="preserve"> </v>
      </c>
      <c r="Q125" s="398">
        <v>1800</v>
      </c>
      <c r="R125" s="400"/>
      <c r="S125" s="401">
        <v>32730</v>
      </c>
      <c r="T125" s="402" t="s">
        <v>519</v>
      </c>
      <c r="U125" s="403"/>
      <c r="V125" s="404">
        <f t="shared" si="12"/>
        <v>0</v>
      </c>
      <c r="W125" s="405" t="str">
        <f>IF(AND(P125&lt;[3]koment!$F$1,N125&gt;=[3]koment!$F$2),"Komentovat","")</f>
        <v/>
      </c>
      <c r="X125" s="406">
        <f t="shared" si="13"/>
        <v>15</v>
      </c>
      <c r="Y125" s="404" t="str">
        <f t="shared" si="14"/>
        <v xml:space="preserve"> </v>
      </c>
      <c r="Z125" s="407">
        <f t="shared" si="15"/>
        <v>0</v>
      </c>
      <c r="AA125" s="408" t="str">
        <f t="shared" si="16"/>
        <v>560023212716612149</v>
      </c>
      <c r="AB125" s="388"/>
      <c r="AC125" s="409">
        <f t="shared" si="7"/>
        <v>0</v>
      </c>
      <c r="AD125" s="388"/>
      <c r="AE125" s="388"/>
      <c r="AF125" s="388"/>
    </row>
    <row r="126" spans="1:32" outlineLevel="2" x14ac:dyDescent="0.2">
      <c r="A126" s="391">
        <f t="shared" si="10"/>
        <v>124</v>
      </c>
      <c r="B126" s="392">
        <v>5600</v>
      </c>
      <c r="C126" s="393" t="s">
        <v>540</v>
      </c>
      <c r="D126" s="394">
        <v>2717</v>
      </c>
      <c r="E126" s="393">
        <v>6121</v>
      </c>
      <c r="F126" s="395">
        <v>49</v>
      </c>
      <c r="G126" s="394" t="s">
        <v>545</v>
      </c>
      <c r="H126" s="394">
        <v>2015</v>
      </c>
      <c r="I126" s="394">
        <v>2023</v>
      </c>
      <c r="J126" s="396">
        <v>73550</v>
      </c>
      <c r="K126" s="396"/>
      <c r="L126" s="397"/>
      <c r="M126" s="398">
        <v>50</v>
      </c>
      <c r="N126" s="398">
        <v>0</v>
      </c>
      <c r="O126" s="396"/>
      <c r="P126" s="399" t="str">
        <f t="shared" si="11"/>
        <v xml:space="preserve"> </v>
      </c>
      <c r="Q126" s="398"/>
      <c r="R126" s="400"/>
      <c r="S126" s="401">
        <v>73500</v>
      </c>
      <c r="T126" s="402" t="s">
        <v>519</v>
      </c>
      <c r="U126" s="403"/>
      <c r="V126" s="404">
        <f t="shared" si="12"/>
        <v>50</v>
      </c>
      <c r="W126" s="405" t="str">
        <f>IF(AND(P126&lt;[3]koment!$F$1,N126&gt;=[3]koment!$F$2),"Komentovat","")</f>
        <v/>
      </c>
      <c r="X126" s="406">
        <f t="shared" si="13"/>
        <v>15</v>
      </c>
      <c r="Y126" s="404">
        <f t="shared" si="14"/>
        <v>5600</v>
      </c>
      <c r="Z126" s="407" t="str">
        <f t="shared" si="15"/>
        <v>ORG 2717 - Srbská - rekonstrukce kanalizace a vodovodu</v>
      </c>
      <c r="AA126" s="408" t="str">
        <f t="shared" si="16"/>
        <v>560023212717612149</v>
      </c>
      <c r="AB126" s="388"/>
      <c r="AC126" s="409">
        <f t="shared" si="7"/>
        <v>50</v>
      </c>
      <c r="AD126" s="388"/>
      <c r="AE126" s="388"/>
      <c r="AF126" s="388"/>
    </row>
    <row r="127" spans="1:32" outlineLevel="2" x14ac:dyDescent="0.2">
      <c r="A127" s="391">
        <f t="shared" si="10"/>
        <v>125</v>
      </c>
      <c r="B127" s="392">
        <v>5600</v>
      </c>
      <c r="C127" s="393" t="s">
        <v>540</v>
      </c>
      <c r="D127" s="394">
        <v>2718</v>
      </c>
      <c r="E127" s="393">
        <v>6121</v>
      </c>
      <c r="F127" s="395">
        <v>49</v>
      </c>
      <c r="G127" s="394" t="s">
        <v>546</v>
      </c>
      <c r="H127" s="394">
        <v>2015</v>
      </c>
      <c r="I127" s="394">
        <v>2021</v>
      </c>
      <c r="J127" s="396">
        <v>16919</v>
      </c>
      <c r="K127" s="396"/>
      <c r="L127" s="397"/>
      <c r="M127" s="398">
        <v>600</v>
      </c>
      <c r="N127" s="398">
        <v>0</v>
      </c>
      <c r="O127" s="396"/>
      <c r="P127" s="399" t="str">
        <f t="shared" si="11"/>
        <v xml:space="preserve"> </v>
      </c>
      <c r="Q127" s="398">
        <v>1100</v>
      </c>
      <c r="R127" s="400">
        <v>50</v>
      </c>
      <c r="S127" s="401">
        <v>15769</v>
      </c>
      <c r="T127" s="402" t="s">
        <v>519</v>
      </c>
      <c r="U127" s="403"/>
      <c r="V127" s="404">
        <f t="shared" si="12"/>
        <v>0</v>
      </c>
      <c r="W127" s="405" t="str">
        <f>IF(AND(P127&lt;[3]koment!$F$1,N127&gt;=[3]koment!$F$2),"Komentovat","")</f>
        <v/>
      </c>
      <c r="X127" s="406">
        <f t="shared" si="13"/>
        <v>15</v>
      </c>
      <c r="Y127" s="404" t="str">
        <f t="shared" si="14"/>
        <v xml:space="preserve"> </v>
      </c>
      <c r="Z127" s="407">
        <f t="shared" si="15"/>
        <v>0</v>
      </c>
      <c r="AA127" s="408" t="str">
        <f t="shared" si="16"/>
        <v>560023212718612149</v>
      </c>
      <c r="AB127" s="388"/>
      <c r="AC127" s="409">
        <f t="shared" si="7"/>
        <v>0</v>
      </c>
      <c r="AD127" s="388"/>
      <c r="AE127" s="388"/>
      <c r="AF127" s="388"/>
    </row>
    <row r="128" spans="1:32" outlineLevel="2" x14ac:dyDescent="0.2">
      <c r="A128" s="391">
        <f t="shared" si="10"/>
        <v>126</v>
      </c>
      <c r="B128" s="392">
        <v>5600</v>
      </c>
      <c r="C128" s="393" t="s">
        <v>540</v>
      </c>
      <c r="D128" s="394">
        <v>2719</v>
      </c>
      <c r="E128" s="393">
        <v>6121</v>
      </c>
      <c r="F128" s="395">
        <v>49</v>
      </c>
      <c r="G128" s="394" t="s">
        <v>547</v>
      </c>
      <c r="H128" s="394">
        <v>2015</v>
      </c>
      <c r="I128" s="394">
        <v>2021</v>
      </c>
      <c r="J128" s="396">
        <v>25502</v>
      </c>
      <c r="K128" s="396"/>
      <c r="L128" s="397"/>
      <c r="M128" s="398">
        <v>800</v>
      </c>
      <c r="N128" s="398">
        <v>0</v>
      </c>
      <c r="O128" s="396"/>
      <c r="P128" s="399" t="str">
        <f t="shared" si="11"/>
        <v xml:space="preserve"> </v>
      </c>
      <c r="Q128" s="398">
        <v>1250</v>
      </c>
      <c r="R128" s="400">
        <v>50</v>
      </c>
      <c r="S128" s="401">
        <v>24202</v>
      </c>
      <c r="T128" s="402" t="s">
        <v>519</v>
      </c>
      <c r="U128" s="403"/>
      <c r="V128" s="404">
        <f t="shared" si="12"/>
        <v>0</v>
      </c>
      <c r="W128" s="405" t="str">
        <f>IF(AND(P128&lt;[3]koment!$F$1,N128&gt;=[3]koment!$F$2),"Komentovat","")</f>
        <v/>
      </c>
      <c r="X128" s="406">
        <f t="shared" si="13"/>
        <v>15</v>
      </c>
      <c r="Y128" s="404" t="str">
        <f t="shared" si="14"/>
        <v xml:space="preserve"> </v>
      </c>
      <c r="Z128" s="407">
        <f t="shared" si="15"/>
        <v>0</v>
      </c>
      <c r="AA128" s="408" t="str">
        <f t="shared" si="16"/>
        <v>560023212719612149</v>
      </c>
      <c r="AB128" s="388"/>
      <c r="AC128" s="409">
        <f t="shared" si="7"/>
        <v>0</v>
      </c>
      <c r="AD128" s="388"/>
      <c r="AE128" s="388"/>
      <c r="AF128" s="388"/>
    </row>
    <row r="129" spans="1:32" outlineLevel="2" x14ac:dyDescent="0.2">
      <c r="A129" s="391">
        <f t="shared" si="10"/>
        <v>127</v>
      </c>
      <c r="B129" s="392">
        <v>5600</v>
      </c>
      <c r="C129" s="393" t="s">
        <v>540</v>
      </c>
      <c r="D129" s="394">
        <v>2720</v>
      </c>
      <c r="E129" s="393">
        <v>6121</v>
      </c>
      <c r="F129" s="395">
        <v>49</v>
      </c>
      <c r="G129" s="394" t="s">
        <v>548</v>
      </c>
      <c r="H129" s="394">
        <v>2015</v>
      </c>
      <c r="I129" s="394">
        <v>2020</v>
      </c>
      <c r="J129" s="396">
        <v>140000</v>
      </c>
      <c r="K129" s="396"/>
      <c r="L129" s="397"/>
      <c r="M129" s="398">
        <v>7200</v>
      </c>
      <c r="N129" s="398">
        <v>0</v>
      </c>
      <c r="O129" s="396"/>
      <c r="P129" s="399" t="str">
        <f t="shared" si="11"/>
        <v xml:space="preserve"> </v>
      </c>
      <c r="Q129" s="398">
        <v>2000</v>
      </c>
      <c r="R129" s="400">
        <v>1500</v>
      </c>
      <c r="S129" s="401">
        <v>136500</v>
      </c>
      <c r="T129" s="402" t="s">
        <v>519</v>
      </c>
      <c r="U129" s="403"/>
      <c r="V129" s="404">
        <f t="shared" si="12"/>
        <v>0</v>
      </c>
      <c r="W129" s="405" t="str">
        <f>IF(AND(P129&lt;[3]koment!$F$1,N129&gt;=[3]koment!$F$2),"Komentovat","")</f>
        <v/>
      </c>
      <c r="X129" s="406">
        <f t="shared" si="13"/>
        <v>15</v>
      </c>
      <c r="Y129" s="404" t="str">
        <f t="shared" si="14"/>
        <v xml:space="preserve"> </v>
      </c>
      <c r="Z129" s="407">
        <f t="shared" si="15"/>
        <v>0</v>
      </c>
      <c r="AA129" s="408" t="str">
        <f t="shared" si="16"/>
        <v>560023212720612149</v>
      </c>
      <c r="AB129" s="388"/>
      <c r="AC129" s="409">
        <f t="shared" si="7"/>
        <v>0</v>
      </c>
      <c r="AD129" s="388"/>
      <c r="AE129" s="388"/>
      <c r="AF129" s="388"/>
    </row>
    <row r="130" spans="1:32" outlineLevel="2" x14ac:dyDescent="0.2">
      <c r="A130" s="391">
        <f t="shared" si="10"/>
        <v>128</v>
      </c>
      <c r="B130" s="392">
        <v>5600</v>
      </c>
      <c r="C130" s="393" t="s">
        <v>540</v>
      </c>
      <c r="D130" s="394">
        <v>2721</v>
      </c>
      <c r="E130" s="393">
        <v>6121</v>
      </c>
      <c r="F130" s="395">
        <v>49</v>
      </c>
      <c r="G130" s="394" t="s">
        <v>549</v>
      </c>
      <c r="H130" s="394">
        <v>2015</v>
      </c>
      <c r="I130" s="394">
        <v>2022</v>
      </c>
      <c r="J130" s="396">
        <v>15970</v>
      </c>
      <c r="K130" s="396"/>
      <c r="L130" s="397"/>
      <c r="M130" s="398">
        <v>800</v>
      </c>
      <c r="N130" s="398">
        <v>0</v>
      </c>
      <c r="O130" s="396"/>
      <c r="P130" s="399" t="str">
        <f t="shared" si="11"/>
        <v xml:space="preserve"> </v>
      </c>
      <c r="Q130" s="398"/>
      <c r="R130" s="400">
        <v>1400</v>
      </c>
      <c r="S130" s="401">
        <v>14570</v>
      </c>
      <c r="T130" s="402" t="s">
        <v>519</v>
      </c>
      <c r="U130" s="403"/>
      <c r="V130" s="404">
        <f t="shared" si="12"/>
        <v>0</v>
      </c>
      <c r="W130" s="405" t="str">
        <f>IF(AND(P130&lt;[3]koment!$F$1,N130&gt;=[3]koment!$F$2),"Komentovat","")</f>
        <v/>
      </c>
      <c r="X130" s="406">
        <f t="shared" si="13"/>
        <v>15</v>
      </c>
      <c r="Y130" s="404" t="str">
        <f t="shared" si="14"/>
        <v xml:space="preserve"> </v>
      </c>
      <c r="Z130" s="407">
        <f t="shared" si="15"/>
        <v>0</v>
      </c>
      <c r="AA130" s="408" t="str">
        <f t="shared" si="16"/>
        <v>560023212721612149</v>
      </c>
      <c r="AB130" s="388"/>
      <c r="AC130" s="409">
        <f t="shared" ref="AC130:AC193" si="22">IF(LEN(D130)=4,(J130-L130-N130-Q130-R130-S130),0)</f>
        <v>0</v>
      </c>
      <c r="AD130" s="388"/>
      <c r="AE130" s="388"/>
      <c r="AF130" s="388"/>
    </row>
    <row r="131" spans="1:32" outlineLevel="2" x14ac:dyDescent="0.2">
      <c r="A131" s="391">
        <f t="shared" si="10"/>
        <v>129</v>
      </c>
      <c r="B131" s="392">
        <v>5600</v>
      </c>
      <c r="C131" s="393" t="s">
        <v>540</v>
      </c>
      <c r="D131" s="394">
        <v>2722</v>
      </c>
      <c r="E131" s="393">
        <v>6121</v>
      </c>
      <c r="F131" s="395">
        <v>49</v>
      </c>
      <c r="G131" s="394" t="s">
        <v>550</v>
      </c>
      <c r="H131" s="394">
        <v>2015</v>
      </c>
      <c r="I131" s="394">
        <v>2022</v>
      </c>
      <c r="J131" s="396">
        <v>16169</v>
      </c>
      <c r="K131" s="396"/>
      <c r="L131" s="397"/>
      <c r="M131" s="398">
        <v>750</v>
      </c>
      <c r="N131" s="398">
        <v>0</v>
      </c>
      <c r="O131" s="396"/>
      <c r="P131" s="399" t="str">
        <f t="shared" si="11"/>
        <v xml:space="preserve"> </v>
      </c>
      <c r="Q131" s="398"/>
      <c r="R131" s="400">
        <v>1500</v>
      </c>
      <c r="S131" s="401">
        <v>14669</v>
      </c>
      <c r="T131" s="402" t="s">
        <v>519</v>
      </c>
      <c r="U131" s="403"/>
      <c r="V131" s="404">
        <f t="shared" si="12"/>
        <v>0</v>
      </c>
      <c r="W131" s="405" t="str">
        <f>IF(AND(P131&lt;[3]koment!$F$1,N131&gt;=[3]koment!$F$2),"Komentovat","")</f>
        <v/>
      </c>
      <c r="X131" s="406">
        <f t="shared" si="13"/>
        <v>15</v>
      </c>
      <c r="Y131" s="404" t="str">
        <f t="shared" si="14"/>
        <v xml:space="preserve"> </v>
      </c>
      <c r="Z131" s="407">
        <f t="shared" si="15"/>
        <v>0</v>
      </c>
      <c r="AA131" s="408" t="str">
        <f t="shared" si="16"/>
        <v>560023212722612149</v>
      </c>
      <c r="AB131" s="388"/>
      <c r="AC131" s="409">
        <f t="shared" si="22"/>
        <v>0</v>
      </c>
      <c r="AD131" s="388"/>
      <c r="AE131" s="388"/>
      <c r="AF131" s="388"/>
    </row>
    <row r="132" spans="1:32" outlineLevel="2" x14ac:dyDescent="0.2">
      <c r="A132" s="391">
        <f t="shared" ref="A132:A195" si="23">ROW()-2</f>
        <v>130</v>
      </c>
      <c r="B132" s="392">
        <v>5600</v>
      </c>
      <c r="C132" s="393" t="s">
        <v>540</v>
      </c>
      <c r="D132" s="394">
        <v>2724</v>
      </c>
      <c r="E132" s="393">
        <v>6121</v>
      </c>
      <c r="F132" s="395">
        <v>49</v>
      </c>
      <c r="G132" s="394" t="s">
        <v>551</v>
      </c>
      <c r="H132" s="394">
        <v>2015</v>
      </c>
      <c r="I132" s="394">
        <v>2023</v>
      </c>
      <c r="J132" s="396">
        <v>60548</v>
      </c>
      <c r="K132" s="396"/>
      <c r="L132" s="397"/>
      <c r="M132" s="398">
        <v>1000</v>
      </c>
      <c r="N132" s="398">
        <v>0</v>
      </c>
      <c r="O132" s="396"/>
      <c r="P132" s="399" t="str">
        <f t="shared" ref="P132:P195" si="24">IF(N132&lt;=0," ",O132/N132)</f>
        <v xml:space="preserve"> </v>
      </c>
      <c r="Q132" s="398"/>
      <c r="R132" s="400">
        <v>2200</v>
      </c>
      <c r="S132" s="401">
        <v>58348</v>
      </c>
      <c r="T132" s="402" t="s">
        <v>519</v>
      </c>
      <c r="U132" s="403"/>
      <c r="V132" s="404">
        <f t="shared" si="12"/>
        <v>0</v>
      </c>
      <c r="W132" s="405" t="str">
        <f>IF(AND(P132&lt;[3]koment!$F$1,N132&gt;=[3]koment!$F$2),"Komentovat","")</f>
        <v/>
      </c>
      <c r="X132" s="406">
        <f t="shared" si="13"/>
        <v>15</v>
      </c>
      <c r="Y132" s="404" t="str">
        <f t="shared" si="14"/>
        <v xml:space="preserve"> </v>
      </c>
      <c r="Z132" s="407">
        <f t="shared" si="15"/>
        <v>0</v>
      </c>
      <c r="AA132" s="408" t="str">
        <f t="shared" si="16"/>
        <v>560023212724612149</v>
      </c>
      <c r="AB132" s="388"/>
      <c r="AC132" s="409">
        <f t="shared" si="22"/>
        <v>0</v>
      </c>
      <c r="AD132" s="388"/>
      <c r="AE132" s="388"/>
      <c r="AF132" s="388"/>
    </row>
    <row r="133" spans="1:32" outlineLevel="2" x14ac:dyDescent="0.2">
      <c r="A133" s="391">
        <f t="shared" si="23"/>
        <v>131</v>
      </c>
      <c r="B133" s="392">
        <v>5600</v>
      </c>
      <c r="C133" s="393" t="s">
        <v>540</v>
      </c>
      <c r="D133" s="394">
        <v>2726</v>
      </c>
      <c r="E133" s="393">
        <v>6121</v>
      </c>
      <c r="F133" s="395">
        <v>49</v>
      </c>
      <c r="G133" s="394" t="s">
        <v>552</v>
      </c>
      <c r="H133" s="394">
        <v>2015</v>
      </c>
      <c r="I133" s="394">
        <v>2021</v>
      </c>
      <c r="J133" s="396">
        <v>12531</v>
      </c>
      <c r="K133" s="396"/>
      <c r="L133" s="397"/>
      <c r="M133" s="398">
        <v>1000</v>
      </c>
      <c r="N133" s="398">
        <v>850</v>
      </c>
      <c r="O133" s="396">
        <v>844</v>
      </c>
      <c r="P133" s="399">
        <f t="shared" si="24"/>
        <v>0.99294117647058822</v>
      </c>
      <c r="Q133" s="398">
        <v>100</v>
      </c>
      <c r="R133" s="400"/>
      <c r="S133" s="401">
        <v>11581</v>
      </c>
      <c r="T133" s="402" t="s">
        <v>519</v>
      </c>
      <c r="U133" s="403"/>
      <c r="V133" s="404">
        <f t="shared" si="12"/>
        <v>0</v>
      </c>
      <c r="W133" s="405" t="str">
        <f>IF(AND(P133&lt;[3]koment!$F$1,N133&gt;=[3]koment!$F$2),"Komentovat","")</f>
        <v/>
      </c>
      <c r="X133" s="406">
        <f t="shared" si="13"/>
        <v>15</v>
      </c>
      <c r="Y133" s="404" t="str">
        <f t="shared" si="14"/>
        <v xml:space="preserve"> </v>
      </c>
      <c r="Z133" s="407">
        <f t="shared" si="15"/>
        <v>0</v>
      </c>
      <c r="AA133" s="408" t="str">
        <f t="shared" si="16"/>
        <v>560023212726612149</v>
      </c>
      <c r="AB133" s="388"/>
      <c r="AC133" s="409">
        <f t="shared" si="22"/>
        <v>0</v>
      </c>
      <c r="AD133" s="388"/>
      <c r="AE133" s="388"/>
      <c r="AF133" s="388"/>
    </row>
    <row r="134" spans="1:32" outlineLevel="2" x14ac:dyDescent="0.2">
      <c r="A134" s="391">
        <f t="shared" si="23"/>
        <v>132</v>
      </c>
      <c r="B134" s="392">
        <v>5600</v>
      </c>
      <c r="C134" s="393" t="s">
        <v>540</v>
      </c>
      <c r="D134" s="394">
        <v>2727</v>
      </c>
      <c r="E134" s="393">
        <v>6121</v>
      </c>
      <c r="F134" s="395">
        <v>49</v>
      </c>
      <c r="G134" s="394" t="s">
        <v>553</v>
      </c>
      <c r="H134" s="394">
        <v>2015</v>
      </c>
      <c r="I134" s="394">
        <v>2022</v>
      </c>
      <c r="J134" s="396">
        <v>9656</v>
      </c>
      <c r="K134" s="396"/>
      <c r="L134" s="397"/>
      <c r="M134" s="398">
        <v>400</v>
      </c>
      <c r="N134" s="398">
        <v>0</v>
      </c>
      <c r="O134" s="396"/>
      <c r="P134" s="399" t="str">
        <f t="shared" si="24"/>
        <v xml:space="preserve"> </v>
      </c>
      <c r="Q134" s="398"/>
      <c r="R134" s="400">
        <v>850</v>
      </c>
      <c r="S134" s="401">
        <v>8806</v>
      </c>
      <c r="T134" s="402" t="s">
        <v>519</v>
      </c>
      <c r="U134" s="403"/>
      <c r="V134" s="404">
        <f t="shared" si="12"/>
        <v>0</v>
      </c>
      <c r="W134" s="405" t="str">
        <f>IF(AND(P134&lt;[3]koment!$F$1,N134&gt;=[3]koment!$F$2),"Komentovat","")</f>
        <v/>
      </c>
      <c r="X134" s="406">
        <f t="shared" ref="X134:X197" si="25">IF(W134="Komentovat",X133+1,X133)</f>
        <v>15</v>
      </c>
      <c r="Y134" s="404" t="str">
        <f t="shared" si="14"/>
        <v xml:space="preserve"> </v>
      </c>
      <c r="Z134" s="407">
        <f t="shared" si="15"/>
        <v>0</v>
      </c>
      <c r="AA134" s="408" t="str">
        <f t="shared" si="16"/>
        <v>560023212727612149</v>
      </c>
      <c r="AB134" s="388"/>
      <c r="AC134" s="409">
        <f t="shared" si="22"/>
        <v>0</v>
      </c>
      <c r="AD134" s="388"/>
      <c r="AE134" s="388"/>
      <c r="AF134" s="388"/>
    </row>
    <row r="135" spans="1:32" outlineLevel="2" x14ac:dyDescent="0.2">
      <c r="A135" s="391">
        <f t="shared" si="23"/>
        <v>133</v>
      </c>
      <c r="B135" s="392">
        <v>5600</v>
      </c>
      <c r="C135" s="393" t="s">
        <v>540</v>
      </c>
      <c r="D135" s="394">
        <v>2728</v>
      </c>
      <c r="E135" s="393">
        <v>6121</v>
      </c>
      <c r="F135" s="395">
        <v>49</v>
      </c>
      <c r="G135" s="394" t="s">
        <v>554</v>
      </c>
      <c r="H135" s="394">
        <v>2015</v>
      </c>
      <c r="I135" s="394">
        <v>2023</v>
      </c>
      <c r="J135" s="396">
        <v>14000</v>
      </c>
      <c r="K135" s="396"/>
      <c r="L135" s="397"/>
      <c r="M135" s="398">
        <v>500</v>
      </c>
      <c r="N135" s="398">
        <v>0</v>
      </c>
      <c r="O135" s="396"/>
      <c r="P135" s="399" t="str">
        <f t="shared" si="24"/>
        <v xml:space="preserve"> </v>
      </c>
      <c r="Q135" s="398"/>
      <c r="R135" s="400"/>
      <c r="S135" s="401">
        <v>14000</v>
      </c>
      <c r="T135" s="402" t="s">
        <v>519</v>
      </c>
      <c r="U135" s="403"/>
      <c r="V135" s="404">
        <f t="shared" si="12"/>
        <v>0</v>
      </c>
      <c r="W135" s="405" t="str">
        <f>IF(AND(P135&lt;[3]koment!$F$1,N135&gt;=[3]koment!$F$2),"Komentovat","")</f>
        <v/>
      </c>
      <c r="X135" s="406">
        <f t="shared" si="25"/>
        <v>15</v>
      </c>
      <c r="Y135" s="404" t="str">
        <f t="shared" si="14"/>
        <v xml:space="preserve"> </v>
      </c>
      <c r="Z135" s="407">
        <f t="shared" si="15"/>
        <v>0</v>
      </c>
      <c r="AA135" s="408" t="str">
        <f t="shared" si="16"/>
        <v>560023212728612149</v>
      </c>
      <c r="AB135" s="388"/>
      <c r="AC135" s="409">
        <f t="shared" si="22"/>
        <v>0</v>
      </c>
      <c r="AD135" s="388"/>
      <c r="AE135" s="388"/>
      <c r="AF135" s="388"/>
    </row>
    <row r="136" spans="1:32" outlineLevel="2" x14ac:dyDescent="0.2">
      <c r="A136" s="391">
        <f t="shared" si="23"/>
        <v>134</v>
      </c>
      <c r="B136" s="392">
        <v>5600</v>
      </c>
      <c r="C136" s="393" t="s">
        <v>540</v>
      </c>
      <c r="D136" s="394">
        <v>2729</v>
      </c>
      <c r="E136" s="393">
        <v>6121</v>
      </c>
      <c r="F136" s="395">
        <v>49</v>
      </c>
      <c r="G136" s="394" t="s">
        <v>555</v>
      </c>
      <c r="H136" s="394">
        <v>2015</v>
      </c>
      <c r="I136" s="394">
        <v>2020</v>
      </c>
      <c r="J136" s="396">
        <v>8837</v>
      </c>
      <c r="K136" s="396"/>
      <c r="L136" s="397"/>
      <c r="M136" s="398">
        <v>820</v>
      </c>
      <c r="N136" s="398">
        <v>0</v>
      </c>
      <c r="O136" s="396"/>
      <c r="P136" s="399" t="str">
        <f t="shared" si="24"/>
        <v xml:space="preserve"> </v>
      </c>
      <c r="Q136" s="398">
        <v>700</v>
      </c>
      <c r="R136" s="400">
        <v>100</v>
      </c>
      <c r="S136" s="401">
        <v>8037</v>
      </c>
      <c r="T136" s="402" t="s">
        <v>519</v>
      </c>
      <c r="U136" s="403"/>
      <c r="V136" s="404">
        <f t="shared" si="12"/>
        <v>0</v>
      </c>
      <c r="W136" s="405" t="str">
        <f>IF(AND(P136&lt;[3]koment!$F$1,N136&gt;=[3]koment!$F$2),"Komentovat","")</f>
        <v/>
      </c>
      <c r="X136" s="406">
        <f t="shared" si="25"/>
        <v>15</v>
      </c>
      <c r="Y136" s="404" t="str">
        <f t="shared" si="14"/>
        <v xml:space="preserve"> </v>
      </c>
      <c r="Z136" s="407">
        <f t="shared" si="15"/>
        <v>0</v>
      </c>
      <c r="AA136" s="408" t="str">
        <f t="shared" si="16"/>
        <v>560023212729612149</v>
      </c>
      <c r="AB136" s="388"/>
      <c r="AC136" s="409">
        <f t="shared" si="22"/>
        <v>0</v>
      </c>
      <c r="AD136" s="388"/>
      <c r="AE136" s="388"/>
      <c r="AF136" s="388"/>
    </row>
    <row r="137" spans="1:32" outlineLevel="2" x14ac:dyDescent="0.2">
      <c r="A137" s="391">
        <f t="shared" si="23"/>
        <v>135</v>
      </c>
      <c r="B137" s="392">
        <v>5600</v>
      </c>
      <c r="C137" s="393" t="s">
        <v>540</v>
      </c>
      <c r="D137" s="394">
        <v>2746</v>
      </c>
      <c r="E137" s="393">
        <v>6121</v>
      </c>
      <c r="F137" s="395">
        <v>49</v>
      </c>
      <c r="G137" s="394" t="s">
        <v>556</v>
      </c>
      <c r="H137" s="394">
        <v>2015</v>
      </c>
      <c r="I137" s="394">
        <v>2020</v>
      </c>
      <c r="J137" s="396">
        <v>37920</v>
      </c>
      <c r="K137" s="396"/>
      <c r="L137" s="397"/>
      <c r="M137" s="398">
        <v>1980</v>
      </c>
      <c r="N137" s="398">
        <v>0</v>
      </c>
      <c r="O137" s="396"/>
      <c r="P137" s="399" t="str">
        <f t="shared" si="24"/>
        <v xml:space="preserve"> </v>
      </c>
      <c r="Q137" s="398">
        <v>1650</v>
      </c>
      <c r="R137" s="400">
        <v>100</v>
      </c>
      <c r="S137" s="401">
        <v>36170</v>
      </c>
      <c r="T137" s="402" t="s">
        <v>519</v>
      </c>
      <c r="U137" s="403"/>
      <c r="V137" s="404">
        <f t="shared" si="12"/>
        <v>0</v>
      </c>
      <c r="W137" s="405" t="str">
        <f>IF(AND(P137&lt;[3]koment!$F$1,N137&gt;=[3]koment!$F$2),"Komentovat","")</f>
        <v/>
      </c>
      <c r="X137" s="406">
        <f t="shared" si="25"/>
        <v>15</v>
      </c>
      <c r="Y137" s="404" t="str">
        <f t="shared" si="14"/>
        <v xml:space="preserve"> </v>
      </c>
      <c r="Z137" s="407">
        <f t="shared" si="15"/>
        <v>0</v>
      </c>
      <c r="AA137" s="408" t="str">
        <f t="shared" si="16"/>
        <v>560023212746612149</v>
      </c>
      <c r="AB137" s="388"/>
      <c r="AC137" s="409">
        <f t="shared" si="22"/>
        <v>0</v>
      </c>
      <c r="AD137" s="388"/>
      <c r="AE137" s="388"/>
      <c r="AF137" s="388"/>
    </row>
    <row r="138" spans="1:32" outlineLevel="2" x14ac:dyDescent="0.2">
      <c r="A138" s="391">
        <f t="shared" si="23"/>
        <v>136</v>
      </c>
      <c r="B138" s="392">
        <v>5600</v>
      </c>
      <c r="C138" s="393" t="s">
        <v>540</v>
      </c>
      <c r="D138" s="394">
        <v>2747</v>
      </c>
      <c r="E138" s="393">
        <v>6121</v>
      </c>
      <c r="F138" s="395">
        <v>49</v>
      </c>
      <c r="G138" s="394" t="s">
        <v>557</v>
      </c>
      <c r="H138" s="394">
        <v>2015</v>
      </c>
      <c r="I138" s="394">
        <v>2021</v>
      </c>
      <c r="J138" s="396">
        <v>9218</v>
      </c>
      <c r="K138" s="396"/>
      <c r="L138" s="397"/>
      <c r="M138" s="398">
        <v>800</v>
      </c>
      <c r="N138" s="398">
        <v>800</v>
      </c>
      <c r="O138" s="396">
        <v>781</v>
      </c>
      <c r="P138" s="399">
        <f t="shared" si="24"/>
        <v>0.97624999999999995</v>
      </c>
      <c r="Q138" s="398">
        <v>100</v>
      </c>
      <c r="R138" s="400"/>
      <c r="S138" s="401">
        <v>8318</v>
      </c>
      <c r="T138" s="402" t="s">
        <v>519</v>
      </c>
      <c r="U138" s="403"/>
      <c r="V138" s="404">
        <f t="shared" si="12"/>
        <v>0</v>
      </c>
      <c r="W138" s="405" t="str">
        <f>IF(AND(P138&lt;[3]koment!$F$1,N138&gt;=[3]koment!$F$2),"Komentovat","")</f>
        <v/>
      </c>
      <c r="X138" s="406">
        <f t="shared" si="25"/>
        <v>15</v>
      </c>
      <c r="Y138" s="404" t="str">
        <f t="shared" si="14"/>
        <v xml:space="preserve"> </v>
      </c>
      <c r="Z138" s="407">
        <f t="shared" si="15"/>
        <v>0</v>
      </c>
      <c r="AA138" s="408" t="str">
        <f t="shared" si="16"/>
        <v>560023212747612149</v>
      </c>
      <c r="AB138" s="388"/>
      <c r="AC138" s="409">
        <f t="shared" si="22"/>
        <v>0</v>
      </c>
      <c r="AD138" s="388"/>
      <c r="AE138" s="388"/>
      <c r="AF138" s="388"/>
    </row>
    <row r="139" spans="1:32" outlineLevel="2" x14ac:dyDescent="0.2">
      <c r="A139" s="391">
        <f t="shared" si="23"/>
        <v>137</v>
      </c>
      <c r="B139" s="392">
        <v>5600</v>
      </c>
      <c r="C139" s="393" t="s">
        <v>540</v>
      </c>
      <c r="D139" s="394">
        <v>2748</v>
      </c>
      <c r="E139" s="393">
        <v>6121</v>
      </c>
      <c r="F139" s="395">
        <v>49</v>
      </c>
      <c r="G139" s="394" t="s">
        <v>558</v>
      </c>
      <c r="H139" s="394">
        <v>2015</v>
      </c>
      <c r="I139" s="394">
        <v>2021</v>
      </c>
      <c r="J139" s="396">
        <v>23113</v>
      </c>
      <c r="K139" s="396"/>
      <c r="L139" s="397"/>
      <c r="M139" s="398">
        <v>500</v>
      </c>
      <c r="N139" s="398">
        <v>0</v>
      </c>
      <c r="O139" s="396"/>
      <c r="P139" s="399" t="str">
        <f t="shared" si="24"/>
        <v xml:space="preserve"> </v>
      </c>
      <c r="Q139" s="398">
        <v>1800</v>
      </c>
      <c r="R139" s="400"/>
      <c r="S139" s="401">
        <v>21313</v>
      </c>
      <c r="T139" s="402" t="s">
        <v>519</v>
      </c>
      <c r="U139" s="403"/>
      <c r="V139" s="404">
        <f t="shared" ref="V139:V202" si="26">IF(LEN($D139)=4,(J139-L139-N139-Q139-R139-S139),0)</f>
        <v>0</v>
      </c>
      <c r="W139" s="405" t="str">
        <f>IF(AND(P139&lt;[3]koment!$F$1,N139&gt;=[3]koment!$F$2),"Komentovat","")</f>
        <v/>
      </c>
      <c r="X139" s="406">
        <f t="shared" si="25"/>
        <v>15</v>
      </c>
      <c r="Y139" s="404" t="str">
        <f t="shared" ref="Y139:Y202" si="27">IF($V139=0," ",IF(LEN($B139)=4,$B139*1,$B139))</f>
        <v xml:space="preserve"> </v>
      </c>
      <c r="Z139" s="407">
        <f t="shared" ref="Z139:Z202" si="28">IF($Y139=" ",0,"ORG "&amp;$D139&amp;" - "&amp;$G139)</f>
        <v>0</v>
      </c>
      <c r="AA139" s="408" t="str">
        <f t="shared" ref="AA139:AA202" si="29">$B139&amp;LEFT($C139,4)&amp;$D139&amp;$E139&amp;$F139</f>
        <v>560023212748612149</v>
      </c>
      <c r="AB139" s="388"/>
      <c r="AC139" s="409">
        <f t="shared" si="22"/>
        <v>0</v>
      </c>
      <c r="AD139" s="388"/>
      <c r="AE139" s="388"/>
      <c r="AF139" s="388"/>
    </row>
    <row r="140" spans="1:32" outlineLevel="2" x14ac:dyDescent="0.2">
      <c r="A140" s="391">
        <f t="shared" si="23"/>
        <v>138</v>
      </c>
      <c r="B140" s="392">
        <v>5600</v>
      </c>
      <c r="C140" s="393" t="s">
        <v>540</v>
      </c>
      <c r="D140" s="394">
        <v>2749</v>
      </c>
      <c r="E140" s="393">
        <v>6121</v>
      </c>
      <c r="F140" s="395">
        <v>49</v>
      </c>
      <c r="G140" s="394" t="s">
        <v>559</v>
      </c>
      <c r="H140" s="394">
        <v>2015</v>
      </c>
      <c r="I140" s="394">
        <v>2020</v>
      </c>
      <c r="J140" s="396">
        <v>7490</v>
      </c>
      <c r="K140" s="396"/>
      <c r="L140" s="397"/>
      <c r="M140" s="398">
        <v>740</v>
      </c>
      <c r="N140" s="398">
        <v>740</v>
      </c>
      <c r="O140" s="396">
        <v>739</v>
      </c>
      <c r="P140" s="399">
        <f t="shared" si="24"/>
        <v>0.99864864864864866</v>
      </c>
      <c r="Q140" s="398">
        <v>110</v>
      </c>
      <c r="R140" s="400">
        <v>10</v>
      </c>
      <c r="S140" s="401">
        <v>6630</v>
      </c>
      <c r="T140" s="402" t="s">
        <v>519</v>
      </c>
      <c r="U140" s="403"/>
      <c r="V140" s="404">
        <f t="shared" si="26"/>
        <v>0</v>
      </c>
      <c r="W140" s="405" t="str">
        <f>IF(AND(P140&lt;[3]koment!$F$1,N140&gt;=[3]koment!$F$2),"Komentovat","")</f>
        <v/>
      </c>
      <c r="X140" s="406">
        <f t="shared" si="25"/>
        <v>15</v>
      </c>
      <c r="Y140" s="404" t="str">
        <f t="shared" si="27"/>
        <v xml:space="preserve"> </v>
      </c>
      <c r="Z140" s="407">
        <f t="shared" si="28"/>
        <v>0</v>
      </c>
      <c r="AA140" s="408" t="str">
        <f t="shared" si="29"/>
        <v>560023212749612149</v>
      </c>
      <c r="AB140" s="388"/>
      <c r="AC140" s="409">
        <f t="shared" si="22"/>
        <v>0</v>
      </c>
      <c r="AD140" s="388"/>
      <c r="AE140" s="388"/>
      <c r="AF140" s="388"/>
    </row>
    <row r="141" spans="1:32" outlineLevel="2" x14ac:dyDescent="0.2">
      <c r="A141" s="391">
        <f t="shared" si="23"/>
        <v>139</v>
      </c>
      <c r="B141" s="392">
        <v>5600</v>
      </c>
      <c r="C141" s="393" t="s">
        <v>540</v>
      </c>
      <c r="D141" s="394">
        <v>2750</v>
      </c>
      <c r="E141" s="393">
        <v>6121</v>
      </c>
      <c r="F141" s="395">
        <v>49</v>
      </c>
      <c r="G141" s="394" t="s">
        <v>560</v>
      </c>
      <c r="H141" s="394">
        <v>2015</v>
      </c>
      <c r="I141" s="394">
        <v>2023</v>
      </c>
      <c r="J141" s="396">
        <v>92776</v>
      </c>
      <c r="K141" s="396"/>
      <c r="L141" s="397"/>
      <c r="M141" s="398">
        <v>50</v>
      </c>
      <c r="N141" s="398">
        <v>0</v>
      </c>
      <c r="O141" s="396"/>
      <c r="P141" s="399" t="str">
        <f t="shared" si="24"/>
        <v xml:space="preserve"> </v>
      </c>
      <c r="Q141" s="398"/>
      <c r="R141" s="400"/>
      <c r="S141" s="401">
        <v>92776</v>
      </c>
      <c r="T141" s="402" t="s">
        <v>519</v>
      </c>
      <c r="U141" s="403"/>
      <c r="V141" s="404">
        <f t="shared" si="26"/>
        <v>0</v>
      </c>
      <c r="W141" s="405" t="str">
        <f>IF(AND(P141&lt;[3]koment!$F$1,N141&gt;=[3]koment!$F$2),"Komentovat","")</f>
        <v/>
      </c>
      <c r="X141" s="406">
        <f t="shared" si="25"/>
        <v>15</v>
      </c>
      <c r="Y141" s="404" t="str">
        <f t="shared" si="27"/>
        <v xml:space="preserve"> </v>
      </c>
      <c r="Z141" s="407">
        <f t="shared" si="28"/>
        <v>0</v>
      </c>
      <c r="AA141" s="408" t="str">
        <f t="shared" si="29"/>
        <v>560023212750612149</v>
      </c>
      <c r="AB141" s="388"/>
      <c r="AC141" s="409">
        <f t="shared" si="22"/>
        <v>0</v>
      </c>
      <c r="AD141" s="388"/>
      <c r="AE141" s="388"/>
      <c r="AF141" s="388"/>
    </row>
    <row r="142" spans="1:32" outlineLevel="2" x14ac:dyDescent="0.2">
      <c r="A142" s="391">
        <f t="shared" si="23"/>
        <v>140</v>
      </c>
      <c r="B142" s="392">
        <v>5600</v>
      </c>
      <c r="C142" s="393" t="s">
        <v>540</v>
      </c>
      <c r="D142" s="394">
        <v>2751</v>
      </c>
      <c r="E142" s="393">
        <v>6121</v>
      </c>
      <c r="F142" s="395">
        <v>49</v>
      </c>
      <c r="G142" s="394" t="s">
        <v>561</v>
      </c>
      <c r="H142" s="394">
        <v>2015</v>
      </c>
      <c r="I142" s="394">
        <v>2023</v>
      </c>
      <c r="J142" s="396">
        <v>94329</v>
      </c>
      <c r="K142" s="396"/>
      <c r="L142" s="397"/>
      <c r="M142" s="398">
        <v>50</v>
      </c>
      <c r="N142" s="398">
        <v>0</v>
      </c>
      <c r="O142" s="396"/>
      <c r="P142" s="399" t="str">
        <f t="shared" si="24"/>
        <v xml:space="preserve"> </v>
      </c>
      <c r="Q142" s="398"/>
      <c r="R142" s="400"/>
      <c r="S142" s="401">
        <v>94329</v>
      </c>
      <c r="T142" s="402" t="s">
        <v>519</v>
      </c>
      <c r="U142" s="403"/>
      <c r="V142" s="404">
        <f t="shared" si="26"/>
        <v>0</v>
      </c>
      <c r="W142" s="405" t="str">
        <f>IF(AND(P142&lt;[3]koment!$F$1,N142&gt;=[3]koment!$F$2),"Komentovat","")</f>
        <v/>
      </c>
      <c r="X142" s="406">
        <f t="shared" si="25"/>
        <v>15</v>
      </c>
      <c r="Y142" s="404" t="str">
        <f t="shared" si="27"/>
        <v xml:space="preserve"> </v>
      </c>
      <c r="Z142" s="407">
        <f t="shared" si="28"/>
        <v>0</v>
      </c>
      <c r="AA142" s="408" t="str">
        <f t="shared" si="29"/>
        <v>560023212751612149</v>
      </c>
      <c r="AB142" s="388"/>
      <c r="AC142" s="409">
        <f t="shared" si="22"/>
        <v>0</v>
      </c>
      <c r="AD142" s="388"/>
      <c r="AE142" s="388"/>
      <c r="AF142" s="388"/>
    </row>
    <row r="143" spans="1:32" outlineLevel="2" x14ac:dyDescent="0.2">
      <c r="A143" s="391">
        <f t="shared" si="23"/>
        <v>141</v>
      </c>
      <c r="B143" s="392">
        <v>5600</v>
      </c>
      <c r="C143" s="393" t="s">
        <v>540</v>
      </c>
      <c r="D143" s="394">
        <v>2752</v>
      </c>
      <c r="E143" s="393">
        <v>6121</v>
      </c>
      <c r="F143" s="395">
        <v>49</v>
      </c>
      <c r="G143" s="394" t="s">
        <v>562</v>
      </c>
      <c r="H143" s="394">
        <v>2015</v>
      </c>
      <c r="I143" s="394">
        <v>2021</v>
      </c>
      <c r="J143" s="396">
        <v>36468</v>
      </c>
      <c r="K143" s="396"/>
      <c r="L143" s="397"/>
      <c r="M143" s="398">
        <v>1860</v>
      </c>
      <c r="N143" s="398">
        <v>810</v>
      </c>
      <c r="O143" s="396">
        <v>803</v>
      </c>
      <c r="P143" s="399">
        <f t="shared" si="24"/>
        <v>0.99135802469135803</v>
      </c>
      <c r="Q143" s="398">
        <v>1050</v>
      </c>
      <c r="R143" s="400"/>
      <c r="S143" s="401">
        <v>34608</v>
      </c>
      <c r="T143" s="402" t="s">
        <v>519</v>
      </c>
      <c r="U143" s="403"/>
      <c r="V143" s="404">
        <f t="shared" si="26"/>
        <v>0</v>
      </c>
      <c r="W143" s="405" t="str">
        <f>IF(AND(P143&lt;[3]koment!$F$1,N143&gt;=[3]koment!$F$2),"Komentovat","")</f>
        <v/>
      </c>
      <c r="X143" s="406">
        <f t="shared" si="25"/>
        <v>15</v>
      </c>
      <c r="Y143" s="404" t="str">
        <f t="shared" si="27"/>
        <v xml:space="preserve"> </v>
      </c>
      <c r="Z143" s="407">
        <f t="shared" si="28"/>
        <v>0</v>
      </c>
      <c r="AA143" s="408" t="str">
        <f t="shared" si="29"/>
        <v>560023212752612149</v>
      </c>
      <c r="AB143" s="388"/>
      <c r="AC143" s="409">
        <f t="shared" si="22"/>
        <v>0</v>
      </c>
      <c r="AD143" s="388"/>
      <c r="AE143" s="388"/>
      <c r="AF143" s="388"/>
    </row>
    <row r="144" spans="1:32" outlineLevel="2" x14ac:dyDescent="0.2">
      <c r="A144" s="391">
        <f t="shared" si="23"/>
        <v>142</v>
      </c>
      <c r="B144" s="392">
        <v>5600</v>
      </c>
      <c r="C144" s="393" t="s">
        <v>540</v>
      </c>
      <c r="D144" s="394">
        <v>2753</v>
      </c>
      <c r="E144" s="393">
        <v>6121</v>
      </c>
      <c r="F144" s="395">
        <v>49</v>
      </c>
      <c r="G144" s="394" t="s">
        <v>563</v>
      </c>
      <c r="H144" s="394">
        <v>2015</v>
      </c>
      <c r="I144" s="394">
        <v>2020</v>
      </c>
      <c r="J144" s="396">
        <v>52525</v>
      </c>
      <c r="K144" s="396"/>
      <c r="L144" s="397"/>
      <c r="M144" s="398">
        <v>1940</v>
      </c>
      <c r="N144" s="398">
        <v>620</v>
      </c>
      <c r="O144" s="396">
        <v>609</v>
      </c>
      <c r="P144" s="399">
        <f t="shared" si="24"/>
        <v>0.98225806451612907</v>
      </c>
      <c r="Q144" s="398">
        <v>1350</v>
      </c>
      <c r="R144" s="400">
        <v>2000</v>
      </c>
      <c r="S144" s="401">
        <v>48555</v>
      </c>
      <c r="T144" s="402" t="s">
        <v>519</v>
      </c>
      <c r="U144" s="403"/>
      <c r="V144" s="404">
        <f t="shared" si="26"/>
        <v>0</v>
      </c>
      <c r="W144" s="405" t="str">
        <f>IF(AND(P144&lt;[3]koment!$F$1,N144&gt;=[3]koment!$F$2),"Komentovat","")</f>
        <v/>
      </c>
      <c r="X144" s="406">
        <f t="shared" si="25"/>
        <v>15</v>
      </c>
      <c r="Y144" s="404" t="str">
        <f t="shared" si="27"/>
        <v xml:space="preserve"> </v>
      </c>
      <c r="Z144" s="407">
        <f t="shared" si="28"/>
        <v>0</v>
      </c>
      <c r="AA144" s="408" t="str">
        <f t="shared" si="29"/>
        <v>560023212753612149</v>
      </c>
      <c r="AB144" s="388"/>
      <c r="AC144" s="409">
        <f t="shared" si="22"/>
        <v>0</v>
      </c>
      <c r="AD144" s="388"/>
      <c r="AE144" s="388"/>
      <c r="AF144" s="388"/>
    </row>
    <row r="145" spans="1:32" outlineLevel="2" x14ac:dyDescent="0.2">
      <c r="A145" s="391">
        <f t="shared" si="23"/>
        <v>143</v>
      </c>
      <c r="B145" s="419" t="s">
        <v>420</v>
      </c>
      <c r="C145" s="393" t="s">
        <v>540</v>
      </c>
      <c r="D145" s="393">
        <v>2773</v>
      </c>
      <c r="E145" s="393">
        <v>6121</v>
      </c>
      <c r="F145" s="435">
        <v>49</v>
      </c>
      <c r="G145" s="425" t="s">
        <v>564</v>
      </c>
      <c r="H145" s="393">
        <v>2014</v>
      </c>
      <c r="I145" s="393">
        <v>2022</v>
      </c>
      <c r="J145" s="437">
        <v>200000</v>
      </c>
      <c r="K145" s="437"/>
      <c r="L145" s="438">
        <v>688</v>
      </c>
      <c r="M145" s="398">
        <v>6000</v>
      </c>
      <c r="N145" s="398">
        <v>0</v>
      </c>
      <c r="O145" s="437">
        <v>0</v>
      </c>
      <c r="P145" s="399" t="str">
        <f t="shared" si="24"/>
        <v xml:space="preserve"> </v>
      </c>
      <c r="Q145" s="398">
        <v>0</v>
      </c>
      <c r="R145" s="400"/>
      <c r="S145" s="401">
        <v>199312</v>
      </c>
      <c r="T145" s="402" t="s">
        <v>519</v>
      </c>
      <c r="U145" s="403"/>
      <c r="V145" s="404">
        <f t="shared" si="26"/>
        <v>0</v>
      </c>
      <c r="W145" s="405" t="str">
        <f>IF(AND(P145&lt;[3]koment!$F$1,N145&gt;=[3]koment!$F$2),"Komentovat","")</f>
        <v/>
      </c>
      <c r="X145" s="406">
        <f t="shared" si="25"/>
        <v>15</v>
      </c>
      <c r="Y145" s="404" t="str">
        <f t="shared" si="27"/>
        <v xml:space="preserve"> </v>
      </c>
      <c r="Z145" s="407">
        <f t="shared" si="28"/>
        <v>0</v>
      </c>
      <c r="AA145" s="408" t="str">
        <f t="shared" si="29"/>
        <v>560023212773612149</v>
      </c>
      <c r="AB145" s="388"/>
      <c r="AC145" s="409">
        <f t="shared" si="22"/>
        <v>0</v>
      </c>
      <c r="AD145" s="388"/>
      <c r="AE145" s="388"/>
      <c r="AF145" s="388"/>
    </row>
    <row r="146" spans="1:32" outlineLevel="2" x14ac:dyDescent="0.2">
      <c r="A146" s="391">
        <f t="shared" si="23"/>
        <v>144</v>
      </c>
      <c r="B146" s="392" t="s">
        <v>420</v>
      </c>
      <c r="C146" s="393" t="s">
        <v>540</v>
      </c>
      <c r="D146" s="394">
        <v>2780</v>
      </c>
      <c r="E146" s="393">
        <v>6121</v>
      </c>
      <c r="F146" s="395">
        <v>49</v>
      </c>
      <c r="G146" s="394" t="s">
        <v>565</v>
      </c>
      <c r="H146" s="394">
        <v>2014</v>
      </c>
      <c r="I146" s="394">
        <v>2019</v>
      </c>
      <c r="J146" s="396">
        <v>40619</v>
      </c>
      <c r="K146" s="396"/>
      <c r="L146" s="397">
        <v>27</v>
      </c>
      <c r="M146" s="398">
        <v>1260</v>
      </c>
      <c r="N146" s="398">
        <v>80</v>
      </c>
      <c r="O146" s="396">
        <v>76</v>
      </c>
      <c r="P146" s="399">
        <f t="shared" si="24"/>
        <v>0.95</v>
      </c>
      <c r="Q146" s="398">
        <v>2000</v>
      </c>
      <c r="R146" s="400">
        <v>1200</v>
      </c>
      <c r="S146" s="401">
        <v>37312</v>
      </c>
      <c r="T146" s="402" t="s">
        <v>519</v>
      </c>
      <c r="U146" s="403"/>
      <c r="V146" s="404">
        <f t="shared" si="26"/>
        <v>0</v>
      </c>
      <c r="W146" s="405" t="str">
        <f>IF(AND(P146&lt;[3]koment!$F$1,N146&gt;=[3]koment!$F$2),"Komentovat","")</f>
        <v/>
      </c>
      <c r="X146" s="406">
        <f t="shared" si="25"/>
        <v>15</v>
      </c>
      <c r="Y146" s="404" t="str">
        <f t="shared" si="27"/>
        <v xml:space="preserve"> </v>
      </c>
      <c r="Z146" s="407">
        <f t="shared" si="28"/>
        <v>0</v>
      </c>
      <c r="AA146" s="408" t="str">
        <f t="shared" si="29"/>
        <v>560023212780612149</v>
      </c>
      <c r="AB146" s="388"/>
      <c r="AC146" s="409">
        <f t="shared" si="22"/>
        <v>0</v>
      </c>
      <c r="AD146" s="388"/>
      <c r="AE146" s="388"/>
      <c r="AF146" s="388"/>
    </row>
    <row r="147" spans="1:32" outlineLevel="2" x14ac:dyDescent="0.2">
      <c r="A147" s="391">
        <f t="shared" si="23"/>
        <v>145</v>
      </c>
      <c r="B147" s="392" t="s">
        <v>420</v>
      </c>
      <c r="C147" s="393" t="s">
        <v>540</v>
      </c>
      <c r="D147" s="394">
        <v>2781</v>
      </c>
      <c r="E147" s="393">
        <v>6121</v>
      </c>
      <c r="F147" s="395">
        <v>49</v>
      </c>
      <c r="G147" s="394" t="s">
        <v>566</v>
      </c>
      <c r="H147" s="394">
        <v>2014</v>
      </c>
      <c r="I147" s="394">
        <v>2021</v>
      </c>
      <c r="J147" s="396">
        <v>28499</v>
      </c>
      <c r="K147" s="396"/>
      <c r="L147" s="397">
        <v>202</v>
      </c>
      <c r="M147" s="398">
        <v>1250</v>
      </c>
      <c r="N147" s="398">
        <v>0</v>
      </c>
      <c r="O147" s="396">
        <v>0</v>
      </c>
      <c r="P147" s="399" t="str">
        <f t="shared" si="24"/>
        <v xml:space="preserve"> </v>
      </c>
      <c r="Q147" s="398">
        <v>1250</v>
      </c>
      <c r="R147" s="400"/>
      <c r="S147" s="401">
        <v>27047</v>
      </c>
      <c r="T147" s="402" t="s">
        <v>519</v>
      </c>
      <c r="U147" s="403"/>
      <c r="V147" s="404">
        <f t="shared" si="26"/>
        <v>0</v>
      </c>
      <c r="W147" s="405" t="str">
        <f>IF(AND(P147&lt;[3]koment!$F$1,N147&gt;=[3]koment!$F$2),"Komentovat","")</f>
        <v/>
      </c>
      <c r="X147" s="406">
        <f t="shared" si="25"/>
        <v>15</v>
      </c>
      <c r="Y147" s="404" t="str">
        <f t="shared" si="27"/>
        <v xml:space="preserve"> </v>
      </c>
      <c r="Z147" s="407">
        <f t="shared" si="28"/>
        <v>0</v>
      </c>
      <c r="AA147" s="408" t="str">
        <f t="shared" si="29"/>
        <v>560023212781612149</v>
      </c>
      <c r="AB147" s="388"/>
      <c r="AC147" s="409">
        <f t="shared" si="22"/>
        <v>0</v>
      </c>
      <c r="AD147" s="388"/>
      <c r="AE147" s="388"/>
      <c r="AF147" s="388"/>
    </row>
    <row r="148" spans="1:32" outlineLevel="2" x14ac:dyDescent="0.2">
      <c r="A148" s="391">
        <f t="shared" si="23"/>
        <v>146</v>
      </c>
      <c r="B148" s="392" t="s">
        <v>420</v>
      </c>
      <c r="C148" s="393" t="s">
        <v>540</v>
      </c>
      <c r="D148" s="394">
        <v>2782</v>
      </c>
      <c r="E148" s="393">
        <v>6121</v>
      </c>
      <c r="F148" s="395">
        <v>49</v>
      </c>
      <c r="G148" s="394" t="s">
        <v>567</v>
      </c>
      <c r="H148" s="394">
        <v>2014</v>
      </c>
      <c r="I148" s="394">
        <v>2019</v>
      </c>
      <c r="J148" s="396">
        <v>16615</v>
      </c>
      <c r="K148" s="396"/>
      <c r="L148" s="397">
        <v>204</v>
      </c>
      <c r="M148" s="398">
        <v>400</v>
      </c>
      <c r="N148" s="398">
        <v>402</v>
      </c>
      <c r="O148" s="396">
        <v>402</v>
      </c>
      <c r="P148" s="399">
        <f t="shared" si="24"/>
        <v>1</v>
      </c>
      <c r="Q148" s="398">
        <v>10</v>
      </c>
      <c r="R148" s="400">
        <v>3050</v>
      </c>
      <c r="S148" s="401">
        <v>12948</v>
      </c>
      <c r="T148" s="402" t="s">
        <v>519</v>
      </c>
      <c r="U148" s="403"/>
      <c r="V148" s="404">
        <f t="shared" si="26"/>
        <v>1</v>
      </c>
      <c r="W148" s="405" t="str">
        <f>IF(AND(P148&lt;[3]koment!$F$1,N148&gt;=[3]koment!$F$2),"Komentovat","")</f>
        <v/>
      </c>
      <c r="X148" s="406">
        <f t="shared" si="25"/>
        <v>15</v>
      </c>
      <c r="Y148" s="404">
        <f t="shared" si="27"/>
        <v>5600</v>
      </c>
      <c r="Z148" s="407" t="str">
        <f t="shared" si="28"/>
        <v xml:space="preserve">ORG 2782 - Pastrnkova II - rekonstrukce kanalizace </v>
      </c>
      <c r="AA148" s="408" t="str">
        <f t="shared" si="29"/>
        <v>560023212782612149</v>
      </c>
      <c r="AB148" s="388"/>
      <c r="AC148" s="409">
        <f t="shared" si="22"/>
        <v>1</v>
      </c>
      <c r="AD148" s="388"/>
      <c r="AE148" s="388"/>
      <c r="AF148" s="388"/>
    </row>
    <row r="149" spans="1:32" outlineLevel="2" x14ac:dyDescent="0.2">
      <c r="A149" s="391">
        <f t="shared" si="23"/>
        <v>147</v>
      </c>
      <c r="B149" s="392" t="s">
        <v>420</v>
      </c>
      <c r="C149" s="393" t="s">
        <v>540</v>
      </c>
      <c r="D149" s="394">
        <v>2783</v>
      </c>
      <c r="E149" s="393">
        <v>6121</v>
      </c>
      <c r="F149" s="395">
        <v>49</v>
      </c>
      <c r="G149" s="394" t="s">
        <v>568</v>
      </c>
      <c r="H149" s="394">
        <v>2014</v>
      </c>
      <c r="I149" s="394">
        <v>2018</v>
      </c>
      <c r="J149" s="396">
        <v>15231</v>
      </c>
      <c r="K149" s="396"/>
      <c r="L149" s="397">
        <v>987</v>
      </c>
      <c r="M149" s="398">
        <v>50</v>
      </c>
      <c r="N149" s="398">
        <v>10</v>
      </c>
      <c r="O149" s="396">
        <v>1</v>
      </c>
      <c r="P149" s="399">
        <f t="shared" si="24"/>
        <v>0.1</v>
      </c>
      <c r="Q149" s="398">
        <v>3500</v>
      </c>
      <c r="R149" s="400">
        <v>10734</v>
      </c>
      <c r="S149" s="401"/>
      <c r="T149" s="402" t="s">
        <v>519</v>
      </c>
      <c r="U149" s="403"/>
      <c r="V149" s="404">
        <f t="shared" si="26"/>
        <v>0</v>
      </c>
      <c r="W149" s="405" t="str">
        <f>IF(AND(P149&lt;[3]koment!$F$1,N149&gt;=[3]koment!$F$2),"Komentovat","")</f>
        <v/>
      </c>
      <c r="X149" s="406">
        <f t="shared" si="25"/>
        <v>15</v>
      </c>
      <c r="Y149" s="404" t="str">
        <f t="shared" si="27"/>
        <v xml:space="preserve"> </v>
      </c>
      <c r="Z149" s="407">
        <f t="shared" si="28"/>
        <v>0</v>
      </c>
      <c r="AA149" s="408" t="str">
        <f t="shared" si="29"/>
        <v>560023212783612149</v>
      </c>
      <c r="AB149" s="388"/>
      <c r="AC149" s="409">
        <f t="shared" si="22"/>
        <v>0</v>
      </c>
      <c r="AD149" s="388"/>
      <c r="AE149" s="388"/>
      <c r="AF149" s="388"/>
    </row>
    <row r="150" spans="1:32" outlineLevel="2" x14ac:dyDescent="0.2">
      <c r="A150" s="391">
        <f t="shared" si="23"/>
        <v>148</v>
      </c>
      <c r="B150" s="392" t="s">
        <v>420</v>
      </c>
      <c r="C150" s="393" t="s">
        <v>540</v>
      </c>
      <c r="D150" s="394">
        <v>2784</v>
      </c>
      <c r="E150" s="393">
        <v>6121</v>
      </c>
      <c r="F150" s="395">
        <v>49</v>
      </c>
      <c r="G150" s="394" t="s">
        <v>569</v>
      </c>
      <c r="H150" s="394">
        <v>2014</v>
      </c>
      <c r="I150" s="394">
        <v>2021</v>
      </c>
      <c r="J150" s="396">
        <v>29401</v>
      </c>
      <c r="K150" s="396"/>
      <c r="L150" s="397">
        <v>0</v>
      </c>
      <c r="M150" s="398">
        <v>1500</v>
      </c>
      <c r="N150" s="398">
        <v>1500</v>
      </c>
      <c r="O150" s="396">
        <v>1462</v>
      </c>
      <c r="P150" s="399">
        <f t="shared" si="24"/>
        <v>0.97466666666666668</v>
      </c>
      <c r="Q150" s="398"/>
      <c r="R150" s="400">
        <v>50</v>
      </c>
      <c r="S150" s="401">
        <v>27851</v>
      </c>
      <c r="T150" s="402" t="s">
        <v>519</v>
      </c>
      <c r="U150" s="403"/>
      <c r="V150" s="404">
        <f t="shared" si="26"/>
        <v>0</v>
      </c>
      <c r="W150" s="405" t="str">
        <f>IF(AND(P150&lt;[3]koment!$F$1,N150&gt;=[3]koment!$F$2),"Komentovat","")</f>
        <v/>
      </c>
      <c r="X150" s="406">
        <f t="shared" si="25"/>
        <v>15</v>
      </c>
      <c r="Y150" s="404" t="str">
        <f t="shared" si="27"/>
        <v xml:space="preserve"> </v>
      </c>
      <c r="Z150" s="407">
        <f t="shared" si="28"/>
        <v>0</v>
      </c>
      <c r="AA150" s="408" t="str">
        <f t="shared" si="29"/>
        <v>560023212784612149</v>
      </c>
      <c r="AB150" s="388"/>
      <c r="AC150" s="409">
        <f t="shared" si="22"/>
        <v>0</v>
      </c>
      <c r="AD150" s="388"/>
      <c r="AE150" s="388"/>
      <c r="AF150" s="388"/>
    </row>
    <row r="151" spans="1:32" outlineLevel="2" x14ac:dyDescent="0.2">
      <c r="A151" s="391">
        <f t="shared" si="23"/>
        <v>149</v>
      </c>
      <c r="B151" s="392" t="s">
        <v>420</v>
      </c>
      <c r="C151" s="393" t="s">
        <v>540</v>
      </c>
      <c r="D151" s="394">
        <v>2785</v>
      </c>
      <c r="E151" s="393">
        <v>6121</v>
      </c>
      <c r="F151" s="395">
        <v>49</v>
      </c>
      <c r="G151" s="394" t="s">
        <v>570</v>
      </c>
      <c r="H151" s="394">
        <v>2014</v>
      </c>
      <c r="I151" s="394">
        <v>2021</v>
      </c>
      <c r="J151" s="396">
        <v>20241</v>
      </c>
      <c r="K151" s="396"/>
      <c r="L151" s="397">
        <v>0</v>
      </c>
      <c r="M151" s="398">
        <v>1300</v>
      </c>
      <c r="N151" s="398">
        <v>0</v>
      </c>
      <c r="O151" s="396"/>
      <c r="P151" s="399" t="str">
        <f t="shared" si="24"/>
        <v xml:space="preserve"> </v>
      </c>
      <c r="Q151" s="398">
        <v>1200</v>
      </c>
      <c r="R151" s="400">
        <v>50</v>
      </c>
      <c r="S151" s="401">
        <v>18991</v>
      </c>
      <c r="T151" s="402" t="s">
        <v>519</v>
      </c>
      <c r="U151" s="403"/>
      <c r="V151" s="404">
        <f t="shared" si="26"/>
        <v>0</v>
      </c>
      <c r="W151" s="405" t="str">
        <f>IF(AND(P151&lt;[3]koment!$F$1,N151&gt;=[3]koment!$F$2),"Komentovat","")</f>
        <v/>
      </c>
      <c r="X151" s="406">
        <f t="shared" si="25"/>
        <v>15</v>
      </c>
      <c r="Y151" s="404" t="str">
        <f t="shared" si="27"/>
        <v xml:space="preserve"> </v>
      </c>
      <c r="Z151" s="407">
        <f t="shared" si="28"/>
        <v>0</v>
      </c>
      <c r="AA151" s="408" t="str">
        <f t="shared" si="29"/>
        <v>560023212785612149</v>
      </c>
      <c r="AB151" s="388"/>
      <c r="AC151" s="409">
        <f t="shared" si="22"/>
        <v>0</v>
      </c>
      <c r="AD151" s="388"/>
      <c r="AE151" s="388"/>
      <c r="AF151" s="388"/>
    </row>
    <row r="152" spans="1:32" outlineLevel="2" x14ac:dyDescent="0.2">
      <c r="A152" s="391">
        <f t="shared" si="23"/>
        <v>150</v>
      </c>
      <c r="B152" s="392" t="s">
        <v>420</v>
      </c>
      <c r="C152" s="393" t="s">
        <v>540</v>
      </c>
      <c r="D152" s="394">
        <v>2786</v>
      </c>
      <c r="E152" s="393">
        <v>6121</v>
      </c>
      <c r="F152" s="395">
        <v>49</v>
      </c>
      <c r="G152" s="394" t="s">
        <v>571</v>
      </c>
      <c r="H152" s="394">
        <v>2014</v>
      </c>
      <c r="I152" s="394">
        <v>2019</v>
      </c>
      <c r="J152" s="396">
        <v>37982</v>
      </c>
      <c r="K152" s="396"/>
      <c r="L152" s="397">
        <v>1940</v>
      </c>
      <c r="M152" s="398">
        <v>50</v>
      </c>
      <c r="N152" s="398">
        <v>10</v>
      </c>
      <c r="O152" s="396">
        <v>1</v>
      </c>
      <c r="P152" s="399">
        <f t="shared" si="24"/>
        <v>0.1</v>
      </c>
      <c r="Q152" s="398">
        <v>18752</v>
      </c>
      <c r="R152" s="400">
        <v>17100</v>
      </c>
      <c r="S152" s="401">
        <v>180</v>
      </c>
      <c r="T152" s="402" t="s">
        <v>519</v>
      </c>
      <c r="U152" s="403"/>
      <c r="V152" s="404">
        <f t="shared" si="26"/>
        <v>0</v>
      </c>
      <c r="W152" s="405" t="str">
        <f>IF(AND(P152&lt;[3]koment!$F$1,N152&gt;=[3]koment!$F$2),"Komentovat","")</f>
        <v/>
      </c>
      <c r="X152" s="406">
        <f t="shared" si="25"/>
        <v>15</v>
      </c>
      <c r="Y152" s="404" t="str">
        <f t="shared" si="27"/>
        <v xml:space="preserve"> </v>
      </c>
      <c r="Z152" s="407">
        <f t="shared" si="28"/>
        <v>0</v>
      </c>
      <c r="AA152" s="408" t="str">
        <f t="shared" si="29"/>
        <v>560023212786612149</v>
      </c>
      <c r="AB152" s="388"/>
      <c r="AC152" s="409">
        <f t="shared" si="22"/>
        <v>0</v>
      </c>
      <c r="AD152" s="388"/>
      <c r="AE152" s="388"/>
      <c r="AF152" s="388"/>
    </row>
    <row r="153" spans="1:32" outlineLevel="2" x14ac:dyDescent="0.2">
      <c r="A153" s="391">
        <f t="shared" si="23"/>
        <v>151</v>
      </c>
      <c r="B153" s="392" t="s">
        <v>420</v>
      </c>
      <c r="C153" s="393" t="s">
        <v>540</v>
      </c>
      <c r="D153" s="394">
        <v>2787</v>
      </c>
      <c r="E153" s="393">
        <v>6121</v>
      </c>
      <c r="F153" s="395">
        <v>49</v>
      </c>
      <c r="G153" s="394" t="s">
        <v>572</v>
      </c>
      <c r="H153" s="394">
        <v>2014</v>
      </c>
      <c r="I153" s="394">
        <v>2024</v>
      </c>
      <c r="J153" s="396">
        <v>85592</v>
      </c>
      <c r="K153" s="396"/>
      <c r="L153" s="397">
        <v>0</v>
      </c>
      <c r="M153" s="398">
        <v>50</v>
      </c>
      <c r="N153" s="398">
        <v>0</v>
      </c>
      <c r="O153" s="396"/>
      <c r="P153" s="399" t="str">
        <f t="shared" si="24"/>
        <v xml:space="preserve"> </v>
      </c>
      <c r="Q153" s="398">
        <v>0</v>
      </c>
      <c r="R153" s="400"/>
      <c r="S153" s="401">
        <v>85592</v>
      </c>
      <c r="T153" s="402" t="s">
        <v>519</v>
      </c>
      <c r="U153" s="403"/>
      <c r="V153" s="404">
        <f t="shared" si="26"/>
        <v>0</v>
      </c>
      <c r="W153" s="405" t="str">
        <f>IF(AND(P153&lt;[3]koment!$F$1,N153&gt;=[3]koment!$F$2),"Komentovat","")</f>
        <v/>
      </c>
      <c r="X153" s="406">
        <f t="shared" si="25"/>
        <v>15</v>
      </c>
      <c r="Y153" s="404" t="str">
        <f t="shared" si="27"/>
        <v xml:space="preserve"> </v>
      </c>
      <c r="Z153" s="407">
        <f t="shared" si="28"/>
        <v>0</v>
      </c>
      <c r="AA153" s="408" t="str">
        <f t="shared" si="29"/>
        <v>560023212787612149</v>
      </c>
      <c r="AB153" s="388"/>
      <c r="AC153" s="409">
        <f t="shared" si="22"/>
        <v>0</v>
      </c>
      <c r="AD153" s="388"/>
      <c r="AE153" s="388"/>
      <c r="AF153" s="388"/>
    </row>
    <row r="154" spans="1:32" outlineLevel="2" x14ac:dyDescent="0.2">
      <c r="A154" s="391">
        <f t="shared" si="23"/>
        <v>152</v>
      </c>
      <c r="B154" s="392" t="s">
        <v>420</v>
      </c>
      <c r="C154" s="393" t="s">
        <v>540</v>
      </c>
      <c r="D154" s="394">
        <v>2788</v>
      </c>
      <c r="E154" s="393">
        <v>6121</v>
      </c>
      <c r="F154" s="395">
        <v>49</v>
      </c>
      <c r="G154" s="394" t="s">
        <v>573</v>
      </c>
      <c r="H154" s="394">
        <v>2014</v>
      </c>
      <c r="I154" s="394">
        <v>2021</v>
      </c>
      <c r="J154" s="396">
        <v>24451</v>
      </c>
      <c r="K154" s="396"/>
      <c r="L154" s="397">
        <v>0</v>
      </c>
      <c r="M154" s="398">
        <v>1800</v>
      </c>
      <c r="N154" s="398">
        <v>770</v>
      </c>
      <c r="O154" s="396">
        <v>763</v>
      </c>
      <c r="P154" s="399">
        <f t="shared" si="24"/>
        <v>0.99090909090909096</v>
      </c>
      <c r="Q154" s="398">
        <v>1280</v>
      </c>
      <c r="R154" s="400">
        <v>50</v>
      </c>
      <c r="S154" s="401">
        <v>22351</v>
      </c>
      <c r="T154" s="402" t="s">
        <v>519</v>
      </c>
      <c r="U154" s="403"/>
      <c r="V154" s="404">
        <f t="shared" si="26"/>
        <v>0</v>
      </c>
      <c r="W154" s="405" t="str">
        <f>IF(AND(P154&lt;[3]koment!$F$1,N154&gt;=[3]koment!$F$2),"Komentovat","")</f>
        <v/>
      </c>
      <c r="X154" s="406">
        <f t="shared" si="25"/>
        <v>15</v>
      </c>
      <c r="Y154" s="404" t="str">
        <f t="shared" si="27"/>
        <v xml:space="preserve"> </v>
      </c>
      <c r="Z154" s="407">
        <f t="shared" si="28"/>
        <v>0</v>
      </c>
      <c r="AA154" s="408" t="str">
        <f t="shared" si="29"/>
        <v>560023212788612149</v>
      </c>
      <c r="AB154" s="388"/>
      <c r="AC154" s="409">
        <f t="shared" si="22"/>
        <v>0</v>
      </c>
      <c r="AD154" s="388"/>
      <c r="AE154" s="388"/>
      <c r="AF154" s="388"/>
    </row>
    <row r="155" spans="1:32" outlineLevel="2" x14ac:dyDescent="0.2">
      <c r="A155" s="391">
        <f t="shared" si="23"/>
        <v>153</v>
      </c>
      <c r="B155" s="392" t="s">
        <v>420</v>
      </c>
      <c r="C155" s="393" t="s">
        <v>540</v>
      </c>
      <c r="D155" s="394">
        <v>2789</v>
      </c>
      <c r="E155" s="393">
        <v>6121</v>
      </c>
      <c r="F155" s="395">
        <v>49</v>
      </c>
      <c r="G155" s="394" t="s">
        <v>574</v>
      </c>
      <c r="H155" s="394">
        <v>2014</v>
      </c>
      <c r="I155" s="394">
        <v>2021</v>
      </c>
      <c r="J155" s="396">
        <v>33043</v>
      </c>
      <c r="K155" s="396"/>
      <c r="L155" s="397">
        <v>0</v>
      </c>
      <c r="M155" s="398">
        <v>980</v>
      </c>
      <c r="N155" s="398">
        <v>100</v>
      </c>
      <c r="O155" s="396">
        <v>98</v>
      </c>
      <c r="P155" s="399">
        <f t="shared" si="24"/>
        <v>0.98</v>
      </c>
      <c r="Q155" s="398">
        <v>1700</v>
      </c>
      <c r="R155" s="400">
        <v>0</v>
      </c>
      <c r="S155" s="401">
        <v>31243</v>
      </c>
      <c r="T155" s="402" t="s">
        <v>519</v>
      </c>
      <c r="U155" s="403"/>
      <c r="V155" s="404">
        <f t="shared" si="26"/>
        <v>0</v>
      </c>
      <c r="W155" s="405" t="str">
        <f>IF(AND(P155&lt;[3]koment!$F$1,N155&gt;=[3]koment!$F$2),"Komentovat","")</f>
        <v/>
      </c>
      <c r="X155" s="406">
        <f t="shared" si="25"/>
        <v>15</v>
      </c>
      <c r="Y155" s="404" t="str">
        <f t="shared" si="27"/>
        <v xml:space="preserve"> </v>
      </c>
      <c r="Z155" s="407">
        <f t="shared" si="28"/>
        <v>0</v>
      </c>
      <c r="AA155" s="408" t="str">
        <f t="shared" si="29"/>
        <v>560023212789612149</v>
      </c>
      <c r="AB155" s="388"/>
      <c r="AC155" s="409">
        <f t="shared" si="22"/>
        <v>0</v>
      </c>
      <c r="AD155" s="388"/>
      <c r="AE155" s="388"/>
      <c r="AF155" s="388"/>
    </row>
    <row r="156" spans="1:32" outlineLevel="2" x14ac:dyDescent="0.2">
      <c r="A156" s="391">
        <f t="shared" si="23"/>
        <v>154</v>
      </c>
      <c r="B156" s="392" t="s">
        <v>420</v>
      </c>
      <c r="C156" s="393" t="s">
        <v>540</v>
      </c>
      <c r="D156" s="394">
        <v>2790</v>
      </c>
      <c r="E156" s="393">
        <v>6121</v>
      </c>
      <c r="F156" s="395">
        <v>49</v>
      </c>
      <c r="G156" s="394" t="s">
        <v>575</v>
      </c>
      <c r="H156" s="394">
        <v>2014</v>
      </c>
      <c r="I156" s="394">
        <v>2023</v>
      </c>
      <c r="J156" s="396">
        <v>70810</v>
      </c>
      <c r="K156" s="396"/>
      <c r="L156" s="397">
        <v>0</v>
      </c>
      <c r="M156" s="398">
        <v>50</v>
      </c>
      <c r="N156" s="398">
        <v>0</v>
      </c>
      <c r="O156" s="396"/>
      <c r="P156" s="399" t="str">
        <f t="shared" si="24"/>
        <v xml:space="preserve"> </v>
      </c>
      <c r="Q156" s="398">
        <v>0</v>
      </c>
      <c r="R156" s="400"/>
      <c r="S156" s="401">
        <v>70810</v>
      </c>
      <c r="T156" s="402" t="s">
        <v>519</v>
      </c>
      <c r="U156" s="403"/>
      <c r="V156" s="404">
        <f t="shared" si="26"/>
        <v>0</v>
      </c>
      <c r="W156" s="405" t="str">
        <f>IF(AND(P156&lt;[3]koment!$F$1,N156&gt;=[3]koment!$F$2),"Komentovat","")</f>
        <v/>
      </c>
      <c r="X156" s="406">
        <f t="shared" si="25"/>
        <v>15</v>
      </c>
      <c r="Y156" s="404" t="str">
        <f t="shared" si="27"/>
        <v xml:space="preserve"> </v>
      </c>
      <c r="Z156" s="407">
        <f t="shared" si="28"/>
        <v>0</v>
      </c>
      <c r="AA156" s="408" t="str">
        <f t="shared" si="29"/>
        <v>560023212790612149</v>
      </c>
      <c r="AB156" s="388"/>
      <c r="AC156" s="409">
        <f t="shared" si="22"/>
        <v>0</v>
      </c>
      <c r="AD156" s="388"/>
      <c r="AE156" s="388"/>
      <c r="AF156" s="388"/>
    </row>
    <row r="157" spans="1:32" outlineLevel="2" x14ac:dyDescent="0.2">
      <c r="A157" s="391">
        <f t="shared" si="23"/>
        <v>155</v>
      </c>
      <c r="B157" s="392" t="s">
        <v>420</v>
      </c>
      <c r="C157" s="393" t="s">
        <v>540</v>
      </c>
      <c r="D157" s="394">
        <v>2791</v>
      </c>
      <c r="E157" s="393">
        <v>6121</v>
      </c>
      <c r="F157" s="395">
        <v>49</v>
      </c>
      <c r="G157" s="394" t="s">
        <v>576</v>
      </c>
      <c r="H157" s="394">
        <v>2014</v>
      </c>
      <c r="I157" s="394">
        <v>2020</v>
      </c>
      <c r="J157" s="396">
        <v>17516</v>
      </c>
      <c r="K157" s="396"/>
      <c r="L157" s="397">
        <v>1196</v>
      </c>
      <c r="M157" s="398">
        <v>200</v>
      </c>
      <c r="N157" s="398">
        <v>10</v>
      </c>
      <c r="O157" s="396">
        <v>2</v>
      </c>
      <c r="P157" s="399">
        <f t="shared" si="24"/>
        <v>0.2</v>
      </c>
      <c r="Q157" s="398">
        <v>50</v>
      </c>
      <c r="R157" s="400">
        <v>100</v>
      </c>
      <c r="S157" s="401">
        <v>16160</v>
      </c>
      <c r="T157" s="402" t="s">
        <v>519</v>
      </c>
      <c r="U157" s="403"/>
      <c r="V157" s="404">
        <f t="shared" si="26"/>
        <v>0</v>
      </c>
      <c r="W157" s="405" t="str">
        <f>IF(AND(P157&lt;[3]koment!$F$1,N157&gt;=[3]koment!$F$2),"Komentovat","")</f>
        <v/>
      </c>
      <c r="X157" s="406">
        <f t="shared" si="25"/>
        <v>15</v>
      </c>
      <c r="Y157" s="404" t="str">
        <f t="shared" si="27"/>
        <v xml:space="preserve"> </v>
      </c>
      <c r="Z157" s="407">
        <f t="shared" si="28"/>
        <v>0</v>
      </c>
      <c r="AA157" s="408" t="str">
        <f t="shared" si="29"/>
        <v>560023212791612149</v>
      </c>
      <c r="AB157" s="388"/>
      <c r="AC157" s="409">
        <f t="shared" si="22"/>
        <v>0</v>
      </c>
      <c r="AD157" s="388"/>
      <c r="AE157" s="388"/>
      <c r="AF157" s="388"/>
    </row>
    <row r="158" spans="1:32" outlineLevel="2" x14ac:dyDescent="0.2">
      <c r="A158" s="391">
        <f t="shared" si="23"/>
        <v>156</v>
      </c>
      <c r="B158" s="392" t="s">
        <v>420</v>
      </c>
      <c r="C158" s="393" t="s">
        <v>540</v>
      </c>
      <c r="D158" s="394">
        <v>2792</v>
      </c>
      <c r="E158" s="393">
        <v>6121</v>
      </c>
      <c r="F158" s="395">
        <v>49</v>
      </c>
      <c r="G158" s="394" t="s">
        <v>577</v>
      </c>
      <c r="H158" s="394">
        <v>2014</v>
      </c>
      <c r="I158" s="394">
        <v>2021</v>
      </c>
      <c r="J158" s="396">
        <v>12407</v>
      </c>
      <c r="K158" s="396"/>
      <c r="L158" s="397">
        <v>0</v>
      </c>
      <c r="M158" s="398">
        <v>925</v>
      </c>
      <c r="N158" s="398">
        <v>0</v>
      </c>
      <c r="O158" s="396"/>
      <c r="P158" s="399" t="str">
        <f t="shared" si="24"/>
        <v xml:space="preserve"> </v>
      </c>
      <c r="Q158" s="398">
        <v>1400</v>
      </c>
      <c r="R158" s="400">
        <v>50</v>
      </c>
      <c r="S158" s="401">
        <v>10957</v>
      </c>
      <c r="T158" s="402" t="s">
        <v>519</v>
      </c>
      <c r="U158" s="403"/>
      <c r="V158" s="404">
        <f t="shared" si="26"/>
        <v>0</v>
      </c>
      <c r="W158" s="405" t="str">
        <f>IF(AND(P158&lt;[3]koment!$F$1,N158&gt;=[3]koment!$F$2),"Komentovat","")</f>
        <v/>
      </c>
      <c r="X158" s="406">
        <f t="shared" si="25"/>
        <v>15</v>
      </c>
      <c r="Y158" s="404" t="str">
        <f t="shared" si="27"/>
        <v xml:space="preserve"> </v>
      </c>
      <c r="Z158" s="407">
        <f t="shared" si="28"/>
        <v>0</v>
      </c>
      <c r="AA158" s="408" t="str">
        <f t="shared" si="29"/>
        <v>560023212792612149</v>
      </c>
      <c r="AB158" s="388"/>
      <c r="AC158" s="409">
        <f t="shared" si="22"/>
        <v>0</v>
      </c>
      <c r="AD158" s="388"/>
      <c r="AE158" s="388"/>
      <c r="AF158" s="388"/>
    </row>
    <row r="159" spans="1:32" outlineLevel="2" x14ac:dyDescent="0.2">
      <c r="A159" s="391">
        <f t="shared" si="23"/>
        <v>157</v>
      </c>
      <c r="B159" s="392" t="s">
        <v>420</v>
      </c>
      <c r="C159" s="393" t="s">
        <v>540</v>
      </c>
      <c r="D159" s="394">
        <v>2793</v>
      </c>
      <c r="E159" s="393">
        <v>6121</v>
      </c>
      <c r="F159" s="395">
        <v>49</v>
      </c>
      <c r="G159" s="394" t="s">
        <v>578</v>
      </c>
      <c r="H159" s="394">
        <v>2014</v>
      </c>
      <c r="I159" s="394">
        <v>2021</v>
      </c>
      <c r="J159" s="396">
        <v>26215</v>
      </c>
      <c r="K159" s="396"/>
      <c r="L159" s="397">
        <v>0</v>
      </c>
      <c r="M159" s="398">
        <v>1520</v>
      </c>
      <c r="N159" s="398">
        <v>0</v>
      </c>
      <c r="O159" s="396"/>
      <c r="P159" s="399" t="str">
        <f t="shared" si="24"/>
        <v xml:space="preserve"> </v>
      </c>
      <c r="Q159" s="398">
        <v>50</v>
      </c>
      <c r="R159" s="400">
        <v>1800</v>
      </c>
      <c r="S159" s="401">
        <v>24365</v>
      </c>
      <c r="T159" s="402" t="s">
        <v>519</v>
      </c>
      <c r="U159" s="403"/>
      <c r="V159" s="404">
        <f t="shared" si="26"/>
        <v>0</v>
      </c>
      <c r="W159" s="405" t="str">
        <f>IF(AND(P159&lt;[3]koment!$F$1,N159&gt;=[3]koment!$F$2),"Komentovat","")</f>
        <v/>
      </c>
      <c r="X159" s="406">
        <f t="shared" si="25"/>
        <v>15</v>
      </c>
      <c r="Y159" s="404" t="str">
        <f t="shared" si="27"/>
        <v xml:space="preserve"> </v>
      </c>
      <c r="Z159" s="407">
        <f t="shared" si="28"/>
        <v>0</v>
      </c>
      <c r="AA159" s="408" t="str">
        <f t="shared" si="29"/>
        <v>560023212793612149</v>
      </c>
      <c r="AB159" s="388"/>
      <c r="AC159" s="409">
        <f t="shared" si="22"/>
        <v>0</v>
      </c>
      <c r="AD159" s="388"/>
      <c r="AE159" s="388"/>
      <c r="AF159" s="388"/>
    </row>
    <row r="160" spans="1:32" outlineLevel="2" x14ac:dyDescent="0.2">
      <c r="A160" s="391">
        <f t="shared" si="23"/>
        <v>158</v>
      </c>
      <c r="B160" s="422" t="s">
        <v>420</v>
      </c>
      <c r="C160" s="393" t="s">
        <v>540</v>
      </c>
      <c r="D160" s="393">
        <v>2807</v>
      </c>
      <c r="E160" s="393">
        <v>6121</v>
      </c>
      <c r="F160" s="402">
        <v>49</v>
      </c>
      <c r="G160" s="443" t="s">
        <v>579</v>
      </c>
      <c r="H160" s="423">
        <v>2014</v>
      </c>
      <c r="I160" s="423">
        <v>2020</v>
      </c>
      <c r="J160" s="420">
        <v>22701</v>
      </c>
      <c r="K160" s="420"/>
      <c r="L160" s="420">
        <v>1453</v>
      </c>
      <c r="M160" s="421">
        <v>220</v>
      </c>
      <c r="N160" s="421">
        <v>220</v>
      </c>
      <c r="O160" s="420">
        <v>176</v>
      </c>
      <c r="P160" s="399">
        <f t="shared" si="24"/>
        <v>0.8</v>
      </c>
      <c r="Q160" s="421">
        <v>100</v>
      </c>
      <c r="R160" s="400">
        <v>100</v>
      </c>
      <c r="S160" s="401">
        <v>20828</v>
      </c>
      <c r="T160" s="402" t="s">
        <v>519</v>
      </c>
      <c r="U160" s="403"/>
      <c r="V160" s="404">
        <f t="shared" si="26"/>
        <v>0</v>
      </c>
      <c r="W160" s="405" t="str">
        <f>IF(AND(P160&lt;[3]koment!$F$1,N160&gt;=[3]koment!$F$2),"Komentovat","")</f>
        <v/>
      </c>
      <c r="X160" s="406">
        <f t="shared" si="25"/>
        <v>15</v>
      </c>
      <c r="Y160" s="404" t="str">
        <f t="shared" si="27"/>
        <v xml:space="preserve"> </v>
      </c>
      <c r="Z160" s="407">
        <f t="shared" si="28"/>
        <v>0</v>
      </c>
      <c r="AA160" s="408" t="str">
        <f t="shared" si="29"/>
        <v>560023212807612149</v>
      </c>
      <c r="AB160" s="388"/>
      <c r="AC160" s="409">
        <f t="shared" si="22"/>
        <v>0</v>
      </c>
      <c r="AD160" s="388"/>
      <c r="AE160" s="388"/>
      <c r="AF160" s="388"/>
    </row>
    <row r="161" spans="1:32" outlineLevel="2" x14ac:dyDescent="0.2">
      <c r="A161" s="391">
        <f t="shared" si="23"/>
        <v>159</v>
      </c>
      <c r="B161" s="422" t="s">
        <v>420</v>
      </c>
      <c r="C161" s="393" t="s">
        <v>540</v>
      </c>
      <c r="D161" s="393">
        <v>2808</v>
      </c>
      <c r="E161" s="393">
        <v>6121</v>
      </c>
      <c r="F161" s="402">
        <v>49</v>
      </c>
      <c r="G161" s="443" t="s">
        <v>580</v>
      </c>
      <c r="H161" s="423">
        <v>2014</v>
      </c>
      <c r="I161" s="423">
        <v>2020</v>
      </c>
      <c r="J161" s="420">
        <v>9800</v>
      </c>
      <c r="K161" s="420"/>
      <c r="L161" s="420">
        <v>1155</v>
      </c>
      <c r="M161" s="421">
        <v>200</v>
      </c>
      <c r="N161" s="421">
        <v>50</v>
      </c>
      <c r="O161" s="420">
        <v>0</v>
      </c>
      <c r="P161" s="399">
        <f t="shared" si="24"/>
        <v>0</v>
      </c>
      <c r="Q161" s="421">
        <v>50</v>
      </c>
      <c r="R161" s="400">
        <v>50</v>
      </c>
      <c r="S161" s="401">
        <v>8495</v>
      </c>
      <c r="T161" s="402" t="s">
        <v>519</v>
      </c>
      <c r="U161" s="403"/>
      <c r="V161" s="404">
        <f t="shared" si="26"/>
        <v>0</v>
      </c>
      <c r="W161" s="405" t="str">
        <f>IF(AND(P161&lt;[3]koment!$F$1,N161&gt;=[3]koment!$F$2),"Komentovat","")</f>
        <v/>
      </c>
      <c r="X161" s="406">
        <f t="shared" si="25"/>
        <v>15</v>
      </c>
      <c r="Y161" s="404" t="str">
        <f t="shared" si="27"/>
        <v xml:space="preserve"> </v>
      </c>
      <c r="Z161" s="407">
        <f t="shared" si="28"/>
        <v>0</v>
      </c>
      <c r="AA161" s="408" t="str">
        <f t="shared" si="29"/>
        <v>560023212808612149</v>
      </c>
      <c r="AB161" s="388"/>
      <c r="AC161" s="409">
        <f t="shared" si="22"/>
        <v>0</v>
      </c>
      <c r="AD161" s="388"/>
      <c r="AE161" s="388"/>
      <c r="AF161" s="388"/>
    </row>
    <row r="162" spans="1:32" outlineLevel="2" x14ac:dyDescent="0.2">
      <c r="A162" s="391">
        <f t="shared" si="23"/>
        <v>160</v>
      </c>
      <c r="B162" s="422" t="s">
        <v>420</v>
      </c>
      <c r="C162" s="393" t="s">
        <v>540</v>
      </c>
      <c r="D162" s="393">
        <v>2809</v>
      </c>
      <c r="E162" s="393">
        <v>6121</v>
      </c>
      <c r="F162" s="402">
        <v>49</v>
      </c>
      <c r="G162" s="443" t="s">
        <v>581</v>
      </c>
      <c r="H162" s="423">
        <v>2014</v>
      </c>
      <c r="I162" s="423">
        <v>2016</v>
      </c>
      <c r="J162" s="420">
        <v>4936</v>
      </c>
      <c r="K162" s="420"/>
      <c r="L162" s="420">
        <v>688</v>
      </c>
      <c r="M162" s="421">
        <v>4477</v>
      </c>
      <c r="N162" s="421">
        <v>4247</v>
      </c>
      <c r="O162" s="420">
        <v>4227</v>
      </c>
      <c r="P162" s="399">
        <f t="shared" si="24"/>
        <v>0.99529079350129501</v>
      </c>
      <c r="Q162" s="421"/>
      <c r="R162" s="400"/>
      <c r="S162" s="401"/>
      <c r="T162" s="402" t="s">
        <v>519</v>
      </c>
      <c r="U162" s="403"/>
      <c r="V162" s="404">
        <f t="shared" si="26"/>
        <v>1</v>
      </c>
      <c r="W162" s="405" t="str">
        <f>IF(AND(P162&lt;[3]koment!$F$1,N162&gt;=[3]koment!$F$2),"Komentovat","")</f>
        <v/>
      </c>
      <c r="X162" s="406">
        <f t="shared" si="25"/>
        <v>15</v>
      </c>
      <c r="Y162" s="404">
        <f t="shared" si="27"/>
        <v>5600</v>
      </c>
      <c r="Z162" s="407" t="str">
        <f t="shared" si="28"/>
        <v>ORG 2809 - Martinkova - rekonstrukce kanalizace a vodovodu</v>
      </c>
      <c r="AA162" s="408" t="str">
        <f t="shared" si="29"/>
        <v>560023212809612149</v>
      </c>
      <c r="AB162" s="388"/>
      <c r="AC162" s="409">
        <f t="shared" si="22"/>
        <v>1</v>
      </c>
      <c r="AD162" s="388"/>
      <c r="AE162" s="388"/>
      <c r="AF162" s="388"/>
    </row>
    <row r="163" spans="1:32" outlineLevel="2" x14ac:dyDescent="0.2">
      <c r="A163" s="391">
        <f t="shared" si="23"/>
        <v>161</v>
      </c>
      <c r="B163" s="422" t="s">
        <v>420</v>
      </c>
      <c r="C163" s="393" t="s">
        <v>540</v>
      </c>
      <c r="D163" s="393">
        <v>2810</v>
      </c>
      <c r="E163" s="393">
        <v>6121</v>
      </c>
      <c r="F163" s="402">
        <v>49</v>
      </c>
      <c r="G163" s="443" t="s">
        <v>582</v>
      </c>
      <c r="H163" s="423">
        <v>2014</v>
      </c>
      <c r="I163" s="423">
        <v>2018</v>
      </c>
      <c r="J163" s="420">
        <v>26655</v>
      </c>
      <c r="K163" s="420"/>
      <c r="L163" s="420">
        <v>1905</v>
      </c>
      <c r="M163" s="421">
        <v>200</v>
      </c>
      <c r="N163" s="421">
        <v>10</v>
      </c>
      <c r="O163" s="420">
        <v>0</v>
      </c>
      <c r="P163" s="399">
        <f t="shared" si="24"/>
        <v>0</v>
      </c>
      <c r="Q163" s="421">
        <v>4000</v>
      </c>
      <c r="R163" s="400">
        <v>20740</v>
      </c>
      <c r="S163" s="401"/>
      <c r="T163" s="402" t="s">
        <v>519</v>
      </c>
      <c r="U163" s="403"/>
      <c r="V163" s="404">
        <f t="shared" si="26"/>
        <v>0</v>
      </c>
      <c r="W163" s="405" t="str">
        <f>IF(AND(P163&lt;[3]koment!$F$1,N163&gt;=[3]koment!$F$2),"Komentovat","")</f>
        <v/>
      </c>
      <c r="X163" s="406">
        <f t="shared" si="25"/>
        <v>15</v>
      </c>
      <c r="Y163" s="404" t="str">
        <f t="shared" si="27"/>
        <v xml:space="preserve"> </v>
      </c>
      <c r="Z163" s="407">
        <f t="shared" si="28"/>
        <v>0</v>
      </c>
      <c r="AA163" s="408" t="str">
        <f t="shared" si="29"/>
        <v>560023212810612149</v>
      </c>
      <c r="AB163" s="388"/>
      <c r="AC163" s="409">
        <f t="shared" si="22"/>
        <v>0</v>
      </c>
      <c r="AD163" s="388"/>
      <c r="AE163" s="388"/>
      <c r="AF163" s="388"/>
    </row>
    <row r="164" spans="1:32" outlineLevel="2" x14ac:dyDescent="0.2">
      <c r="A164" s="391">
        <f t="shared" si="23"/>
        <v>162</v>
      </c>
      <c r="B164" s="422" t="s">
        <v>420</v>
      </c>
      <c r="C164" s="393" t="s">
        <v>540</v>
      </c>
      <c r="D164" s="393">
        <v>2812</v>
      </c>
      <c r="E164" s="393">
        <v>6121</v>
      </c>
      <c r="F164" s="402">
        <v>49</v>
      </c>
      <c r="G164" s="443" t="s">
        <v>583</v>
      </c>
      <c r="H164" s="423">
        <v>2014</v>
      </c>
      <c r="I164" s="423">
        <v>2017</v>
      </c>
      <c r="J164" s="420">
        <v>59795</v>
      </c>
      <c r="K164" s="420"/>
      <c r="L164" s="420">
        <v>1877</v>
      </c>
      <c r="M164" s="421">
        <v>4100</v>
      </c>
      <c r="N164" s="421">
        <v>5715</v>
      </c>
      <c r="O164" s="420">
        <v>5510</v>
      </c>
      <c r="P164" s="399">
        <f t="shared" si="24"/>
        <v>0.96412948381452324</v>
      </c>
      <c r="Q164" s="421">
        <v>51803</v>
      </c>
      <c r="R164" s="400"/>
      <c r="S164" s="401"/>
      <c r="T164" s="402" t="s">
        <v>519</v>
      </c>
      <c r="U164" s="403"/>
      <c r="V164" s="404">
        <f t="shared" si="26"/>
        <v>400</v>
      </c>
      <c r="W164" s="405" t="str">
        <f>IF(AND(P164&lt;[3]koment!$F$1,N164&gt;=[3]koment!$F$2),"Komentovat","")</f>
        <v/>
      </c>
      <c r="X164" s="406">
        <f t="shared" si="25"/>
        <v>15</v>
      </c>
      <c r="Y164" s="404">
        <f t="shared" si="27"/>
        <v>5600</v>
      </c>
      <c r="Z164" s="407" t="str">
        <f t="shared" si="28"/>
        <v>ORG 2812 - Poděbradova II - rekonstrukce kanalizace a vodovod</v>
      </c>
      <c r="AA164" s="408" t="str">
        <f t="shared" si="29"/>
        <v>560023212812612149</v>
      </c>
      <c r="AB164" s="388"/>
      <c r="AC164" s="409">
        <f t="shared" si="22"/>
        <v>400</v>
      </c>
      <c r="AD164" s="388"/>
      <c r="AE164" s="388"/>
      <c r="AF164" s="388"/>
    </row>
    <row r="165" spans="1:32" outlineLevel="2" x14ac:dyDescent="0.2">
      <c r="A165" s="391">
        <f t="shared" si="23"/>
        <v>163</v>
      </c>
      <c r="B165" s="422" t="s">
        <v>420</v>
      </c>
      <c r="C165" s="393" t="s">
        <v>540</v>
      </c>
      <c r="D165" s="393">
        <v>2812</v>
      </c>
      <c r="E165" s="393">
        <v>6130</v>
      </c>
      <c r="F165" s="402">
        <v>49</v>
      </c>
      <c r="G165" s="443" t="s">
        <v>583</v>
      </c>
      <c r="H165" s="423">
        <v>2014</v>
      </c>
      <c r="I165" s="423">
        <v>2017</v>
      </c>
      <c r="J165" s="396"/>
      <c r="K165" s="396"/>
      <c r="L165" s="397"/>
      <c r="M165" s="398"/>
      <c r="N165" s="398">
        <v>400</v>
      </c>
      <c r="O165" s="396">
        <v>400</v>
      </c>
      <c r="P165" s="399">
        <f t="shared" si="24"/>
        <v>1</v>
      </c>
      <c r="Q165" s="398"/>
      <c r="R165" s="400"/>
      <c r="S165" s="401"/>
      <c r="T165" s="402" t="s">
        <v>519</v>
      </c>
      <c r="U165" s="403"/>
      <c r="V165" s="404">
        <f t="shared" si="26"/>
        <v>-400</v>
      </c>
      <c r="W165" s="405" t="str">
        <f>IF(AND(P165&lt;[3]koment!$F$1,N165&gt;=[3]koment!$F$2),"Komentovat","")</f>
        <v/>
      </c>
      <c r="X165" s="406">
        <f t="shared" si="25"/>
        <v>15</v>
      </c>
      <c r="Y165" s="404">
        <f t="shared" si="27"/>
        <v>5600</v>
      </c>
      <c r="Z165" s="407" t="str">
        <f t="shared" si="28"/>
        <v>ORG 2812 - Poděbradova II - rekonstrukce kanalizace a vodovod</v>
      </c>
      <c r="AA165" s="408" t="str">
        <f t="shared" si="29"/>
        <v>560023212812613049</v>
      </c>
      <c r="AB165" s="388"/>
      <c r="AC165" s="409">
        <f t="shared" si="22"/>
        <v>-400</v>
      </c>
      <c r="AD165" s="388"/>
      <c r="AE165" s="388"/>
      <c r="AF165" s="388"/>
    </row>
    <row r="166" spans="1:32" outlineLevel="2" x14ac:dyDescent="0.2">
      <c r="A166" s="391">
        <f t="shared" si="23"/>
        <v>164</v>
      </c>
      <c r="B166" s="392" t="s">
        <v>420</v>
      </c>
      <c r="C166" s="393" t="s">
        <v>540</v>
      </c>
      <c r="D166" s="394">
        <v>2813</v>
      </c>
      <c r="E166" s="393">
        <v>6121</v>
      </c>
      <c r="F166" s="395">
        <v>49</v>
      </c>
      <c r="G166" s="394" t="s">
        <v>584</v>
      </c>
      <c r="H166" s="394">
        <v>2014</v>
      </c>
      <c r="I166" s="394">
        <v>2020</v>
      </c>
      <c r="J166" s="396">
        <v>17454</v>
      </c>
      <c r="K166" s="396"/>
      <c r="L166" s="397">
        <v>1231</v>
      </c>
      <c r="M166" s="398"/>
      <c r="N166" s="398">
        <v>30</v>
      </c>
      <c r="O166" s="396"/>
      <c r="P166" s="399">
        <f t="shared" si="24"/>
        <v>0</v>
      </c>
      <c r="Q166" s="398">
        <v>50</v>
      </c>
      <c r="R166" s="400">
        <v>50</v>
      </c>
      <c r="S166" s="401">
        <v>17324</v>
      </c>
      <c r="T166" s="402" t="s">
        <v>519</v>
      </c>
      <c r="U166" s="403"/>
      <c r="V166" s="404">
        <f t="shared" si="26"/>
        <v>-1231</v>
      </c>
      <c r="W166" s="405" t="str">
        <f>IF(AND(P166&lt;[3]koment!$F$1,N166&gt;=[3]koment!$F$2),"Komentovat","")</f>
        <v/>
      </c>
      <c r="X166" s="406">
        <f t="shared" si="25"/>
        <v>15</v>
      </c>
      <c r="Y166" s="404">
        <f t="shared" si="27"/>
        <v>5600</v>
      </c>
      <c r="Z166" s="407" t="str">
        <f t="shared" si="28"/>
        <v>ORG 2813 - Pod Kaštany - rekonstrukce kanalizace a vodovodu</v>
      </c>
      <c r="AA166" s="408" t="str">
        <f t="shared" si="29"/>
        <v>560023212813612149</v>
      </c>
      <c r="AB166" s="388"/>
      <c r="AC166" s="409">
        <f t="shared" si="22"/>
        <v>-1231</v>
      </c>
      <c r="AD166" s="388"/>
      <c r="AE166" s="388"/>
      <c r="AF166" s="388"/>
    </row>
    <row r="167" spans="1:32" outlineLevel="2" x14ac:dyDescent="0.2">
      <c r="A167" s="391">
        <f t="shared" si="23"/>
        <v>165</v>
      </c>
      <c r="B167" s="422" t="s">
        <v>420</v>
      </c>
      <c r="C167" s="393" t="s">
        <v>540</v>
      </c>
      <c r="D167" s="393">
        <v>2814</v>
      </c>
      <c r="E167" s="393">
        <v>6121</v>
      </c>
      <c r="F167" s="402">
        <v>49</v>
      </c>
      <c r="G167" s="443" t="s">
        <v>585</v>
      </c>
      <c r="H167" s="423">
        <v>2014</v>
      </c>
      <c r="I167" s="423">
        <v>2017</v>
      </c>
      <c r="J167" s="420">
        <v>7867</v>
      </c>
      <c r="K167" s="420"/>
      <c r="L167" s="420">
        <v>865</v>
      </c>
      <c r="M167" s="421">
        <v>50</v>
      </c>
      <c r="N167" s="421">
        <v>50</v>
      </c>
      <c r="O167" s="420">
        <v>0</v>
      </c>
      <c r="P167" s="399">
        <f t="shared" si="24"/>
        <v>0</v>
      </c>
      <c r="Q167" s="421">
        <v>6952</v>
      </c>
      <c r="R167" s="400"/>
      <c r="S167" s="401"/>
      <c r="T167" s="402" t="s">
        <v>519</v>
      </c>
      <c r="U167" s="403"/>
      <c r="V167" s="404">
        <f t="shared" si="26"/>
        <v>0</v>
      </c>
      <c r="W167" s="405" t="str">
        <f>IF(AND(P167&lt;[3]koment!$F$1,N167&gt;=[3]koment!$F$2),"Komentovat","")</f>
        <v/>
      </c>
      <c r="X167" s="406">
        <f t="shared" si="25"/>
        <v>15</v>
      </c>
      <c r="Y167" s="404" t="str">
        <f t="shared" si="27"/>
        <v xml:space="preserve"> </v>
      </c>
      <c r="Z167" s="407">
        <f t="shared" si="28"/>
        <v>0</v>
      </c>
      <c r="AA167" s="408" t="str">
        <f t="shared" si="29"/>
        <v>560023212814612149</v>
      </c>
      <c r="AB167" s="388"/>
      <c r="AC167" s="409">
        <f t="shared" si="22"/>
        <v>0</v>
      </c>
      <c r="AD167" s="388"/>
      <c r="AE167" s="388"/>
      <c r="AF167" s="388"/>
    </row>
    <row r="168" spans="1:32" outlineLevel="2" x14ac:dyDescent="0.2">
      <c r="A168" s="391">
        <f t="shared" si="23"/>
        <v>166</v>
      </c>
      <c r="B168" s="392" t="s">
        <v>420</v>
      </c>
      <c r="C168" s="393" t="s">
        <v>540</v>
      </c>
      <c r="D168" s="394">
        <v>2815</v>
      </c>
      <c r="E168" s="393">
        <v>6121</v>
      </c>
      <c r="F168" s="395">
        <v>49</v>
      </c>
      <c r="G168" s="394" t="s">
        <v>586</v>
      </c>
      <c r="H168" s="394">
        <v>2014</v>
      </c>
      <c r="I168" s="394">
        <v>2017</v>
      </c>
      <c r="J168" s="396">
        <v>27672</v>
      </c>
      <c r="K168" s="396"/>
      <c r="L168" s="397">
        <v>7</v>
      </c>
      <c r="M168" s="398"/>
      <c r="N168" s="398">
        <v>10</v>
      </c>
      <c r="O168" s="396"/>
      <c r="P168" s="399">
        <f t="shared" si="24"/>
        <v>0</v>
      </c>
      <c r="Q168" s="398">
        <v>27655</v>
      </c>
      <c r="R168" s="400"/>
      <c r="S168" s="401"/>
      <c r="T168" s="402" t="s">
        <v>519</v>
      </c>
      <c r="U168" s="403"/>
      <c r="V168" s="404">
        <f t="shared" si="26"/>
        <v>0</v>
      </c>
      <c r="W168" s="405" t="str">
        <f>IF(AND(P168&lt;[3]koment!$F$1,N168&gt;=[3]koment!$F$2),"Komentovat","")</f>
        <v/>
      </c>
      <c r="X168" s="406">
        <f t="shared" si="25"/>
        <v>15</v>
      </c>
      <c r="Y168" s="404" t="str">
        <f t="shared" si="27"/>
        <v xml:space="preserve"> </v>
      </c>
      <c r="Z168" s="407">
        <f t="shared" si="28"/>
        <v>0</v>
      </c>
      <c r="AA168" s="408" t="str">
        <f t="shared" si="29"/>
        <v>560023212815612149</v>
      </c>
      <c r="AB168" s="388"/>
      <c r="AC168" s="409">
        <f t="shared" si="22"/>
        <v>0</v>
      </c>
      <c r="AD168" s="388"/>
      <c r="AE168" s="388"/>
      <c r="AF168" s="388"/>
    </row>
    <row r="169" spans="1:32" outlineLevel="2" x14ac:dyDescent="0.2">
      <c r="A169" s="391">
        <f t="shared" si="23"/>
        <v>167</v>
      </c>
      <c r="B169" s="422" t="s">
        <v>420</v>
      </c>
      <c r="C169" s="393" t="s">
        <v>540</v>
      </c>
      <c r="D169" s="393">
        <v>2848</v>
      </c>
      <c r="E169" s="393">
        <v>6121</v>
      </c>
      <c r="F169" s="402">
        <v>49</v>
      </c>
      <c r="G169" s="394" t="s">
        <v>587</v>
      </c>
      <c r="H169" s="423">
        <v>2013</v>
      </c>
      <c r="I169" s="393">
        <v>2018</v>
      </c>
      <c r="J169" s="420">
        <v>70211</v>
      </c>
      <c r="K169" s="420"/>
      <c r="L169" s="420">
        <v>1946</v>
      </c>
      <c r="M169" s="421">
        <v>4000</v>
      </c>
      <c r="N169" s="421">
        <v>10</v>
      </c>
      <c r="O169" s="420">
        <v>1</v>
      </c>
      <c r="P169" s="399">
        <f t="shared" si="24"/>
        <v>0.1</v>
      </c>
      <c r="Q169" s="421">
        <v>19420</v>
      </c>
      <c r="R169" s="400">
        <v>48835</v>
      </c>
      <c r="S169" s="401"/>
      <c r="T169" s="402" t="s">
        <v>519</v>
      </c>
      <c r="U169" s="403"/>
      <c r="V169" s="404">
        <f t="shared" si="26"/>
        <v>0</v>
      </c>
      <c r="W169" s="405" t="str">
        <f>IF(AND(P169&lt;[3]koment!$F$1,N169&gt;=[3]koment!$F$2),"Komentovat","")</f>
        <v/>
      </c>
      <c r="X169" s="406">
        <f t="shared" si="25"/>
        <v>15</v>
      </c>
      <c r="Y169" s="404" t="str">
        <f t="shared" si="27"/>
        <v xml:space="preserve"> </v>
      </c>
      <c r="Z169" s="407">
        <f t="shared" si="28"/>
        <v>0</v>
      </c>
      <c r="AA169" s="408" t="str">
        <f t="shared" si="29"/>
        <v>560023212848612149</v>
      </c>
      <c r="AB169" s="388"/>
      <c r="AC169" s="409">
        <f t="shared" si="22"/>
        <v>0</v>
      </c>
      <c r="AD169" s="388"/>
      <c r="AE169" s="388"/>
      <c r="AF169" s="388"/>
    </row>
    <row r="170" spans="1:32" outlineLevel="2" x14ac:dyDescent="0.2">
      <c r="A170" s="391">
        <f t="shared" si="23"/>
        <v>168</v>
      </c>
      <c r="B170" s="392" t="s">
        <v>420</v>
      </c>
      <c r="C170" s="393" t="s">
        <v>540</v>
      </c>
      <c r="D170" s="394">
        <v>2848</v>
      </c>
      <c r="E170" s="393">
        <v>6130</v>
      </c>
      <c r="F170" s="395">
        <v>49</v>
      </c>
      <c r="G170" s="394" t="s">
        <v>587</v>
      </c>
      <c r="H170" s="394">
        <v>2013</v>
      </c>
      <c r="I170" s="394">
        <v>2018</v>
      </c>
      <c r="J170" s="396"/>
      <c r="K170" s="396"/>
      <c r="L170" s="397"/>
      <c r="M170" s="398"/>
      <c r="N170" s="398">
        <v>13953</v>
      </c>
      <c r="O170" s="396">
        <v>12951</v>
      </c>
      <c r="P170" s="399">
        <f t="shared" si="24"/>
        <v>0.92818748656202965</v>
      </c>
      <c r="Q170" s="398"/>
      <c r="R170" s="400"/>
      <c r="S170" s="401"/>
      <c r="T170" s="402" t="s">
        <v>519</v>
      </c>
      <c r="U170" s="403"/>
      <c r="V170" s="404">
        <f t="shared" si="26"/>
        <v>-13953</v>
      </c>
      <c r="W170" s="405" t="str">
        <f>IF(AND(P170&lt;[3]koment!$F$1,N170&gt;=[3]koment!$F$2),"Komentovat","")</f>
        <v/>
      </c>
      <c r="X170" s="406">
        <f t="shared" si="25"/>
        <v>15</v>
      </c>
      <c r="Y170" s="404">
        <f t="shared" si="27"/>
        <v>5600</v>
      </c>
      <c r="Z170" s="407" t="str">
        <f t="shared" si="28"/>
        <v>ORG 2848 - Slovanské náměstí, Ruská - rek. kanalizace a vodovodu</v>
      </c>
      <c r="AA170" s="408" t="str">
        <f t="shared" si="29"/>
        <v>560023212848613049</v>
      </c>
      <c r="AB170" s="388"/>
      <c r="AC170" s="409">
        <f t="shared" si="22"/>
        <v>-13953</v>
      </c>
      <c r="AD170" s="388"/>
      <c r="AE170" s="388"/>
      <c r="AF170" s="388"/>
    </row>
    <row r="171" spans="1:32" outlineLevel="2" x14ac:dyDescent="0.2">
      <c r="A171" s="391">
        <f t="shared" si="23"/>
        <v>169</v>
      </c>
      <c r="B171" s="422" t="s">
        <v>420</v>
      </c>
      <c r="C171" s="393" t="s">
        <v>540</v>
      </c>
      <c r="D171" s="393">
        <v>2859</v>
      </c>
      <c r="E171" s="393">
        <v>6121</v>
      </c>
      <c r="F171" s="402">
        <v>49</v>
      </c>
      <c r="G171" s="394" t="s">
        <v>588</v>
      </c>
      <c r="H171" s="393">
        <v>2013</v>
      </c>
      <c r="I171" s="423">
        <v>2022</v>
      </c>
      <c r="J171" s="420">
        <v>71000</v>
      </c>
      <c r="K171" s="420"/>
      <c r="L171" s="420">
        <v>65</v>
      </c>
      <c r="M171" s="421">
        <v>3060</v>
      </c>
      <c r="N171" s="421">
        <v>130</v>
      </c>
      <c r="O171" s="420">
        <v>80</v>
      </c>
      <c r="P171" s="399">
        <f t="shared" si="24"/>
        <v>0.61538461538461542</v>
      </c>
      <c r="Q171" s="421">
        <v>1700</v>
      </c>
      <c r="R171" s="400">
        <v>100</v>
      </c>
      <c r="S171" s="401">
        <v>66075</v>
      </c>
      <c r="T171" s="402" t="s">
        <v>519</v>
      </c>
      <c r="U171" s="403"/>
      <c r="V171" s="404">
        <f t="shared" si="26"/>
        <v>2930</v>
      </c>
      <c r="W171" s="405" t="str">
        <f>IF(AND(P171&lt;[3]koment!$F$1,N171&gt;=[3]koment!$F$2),"Komentovat","")</f>
        <v/>
      </c>
      <c r="X171" s="406">
        <f t="shared" si="25"/>
        <v>15</v>
      </c>
      <c r="Y171" s="404">
        <f t="shared" si="27"/>
        <v>5600</v>
      </c>
      <c r="Z171" s="407" t="str">
        <f t="shared" si="28"/>
        <v>ORG 2859 - Davídkova, MČ Brno-Chrlice - splašková kanalizace</v>
      </c>
      <c r="AA171" s="408" t="str">
        <f t="shared" si="29"/>
        <v>560023212859612149</v>
      </c>
      <c r="AB171" s="388"/>
      <c r="AC171" s="409">
        <f t="shared" si="22"/>
        <v>2930</v>
      </c>
      <c r="AD171" s="388"/>
      <c r="AE171" s="388"/>
      <c r="AF171" s="388"/>
    </row>
    <row r="172" spans="1:32" outlineLevel="2" x14ac:dyDescent="0.2">
      <c r="A172" s="391">
        <f t="shared" si="23"/>
        <v>170</v>
      </c>
      <c r="B172" s="392" t="s">
        <v>420</v>
      </c>
      <c r="C172" s="393" t="s">
        <v>540</v>
      </c>
      <c r="D172" s="394">
        <v>2859</v>
      </c>
      <c r="E172" s="393">
        <v>6130</v>
      </c>
      <c r="F172" s="395">
        <v>49</v>
      </c>
      <c r="G172" s="394" t="s">
        <v>588</v>
      </c>
      <c r="H172" s="394">
        <v>2013</v>
      </c>
      <c r="I172" s="394">
        <v>2022</v>
      </c>
      <c r="J172" s="396"/>
      <c r="K172" s="396"/>
      <c r="L172" s="397"/>
      <c r="M172" s="398"/>
      <c r="N172" s="398">
        <v>2930</v>
      </c>
      <c r="O172" s="396">
        <v>2930</v>
      </c>
      <c r="P172" s="399">
        <f t="shared" si="24"/>
        <v>1</v>
      </c>
      <c r="Q172" s="398"/>
      <c r="R172" s="400"/>
      <c r="S172" s="401"/>
      <c r="T172" s="402" t="s">
        <v>519</v>
      </c>
      <c r="U172" s="403"/>
      <c r="V172" s="404">
        <f t="shared" si="26"/>
        <v>-2930</v>
      </c>
      <c r="W172" s="405" t="str">
        <f>IF(AND(P172&lt;[3]koment!$F$1,N172&gt;=[3]koment!$F$2),"Komentovat","")</f>
        <v/>
      </c>
      <c r="X172" s="406">
        <f t="shared" si="25"/>
        <v>15</v>
      </c>
      <c r="Y172" s="404">
        <f t="shared" si="27"/>
        <v>5600</v>
      </c>
      <c r="Z172" s="407" t="str">
        <f t="shared" si="28"/>
        <v>ORG 2859 - Davídkova, MČ Brno-Chrlice - splašková kanalizace</v>
      </c>
      <c r="AA172" s="408" t="str">
        <f t="shared" si="29"/>
        <v>560023212859613049</v>
      </c>
      <c r="AB172" s="388"/>
      <c r="AC172" s="409">
        <f t="shared" si="22"/>
        <v>-2930</v>
      </c>
      <c r="AD172" s="388"/>
      <c r="AE172" s="388"/>
      <c r="AF172" s="388"/>
    </row>
    <row r="173" spans="1:32" outlineLevel="2" x14ac:dyDescent="0.2">
      <c r="A173" s="391">
        <f t="shared" si="23"/>
        <v>171</v>
      </c>
      <c r="B173" s="422" t="s">
        <v>420</v>
      </c>
      <c r="C173" s="393" t="s">
        <v>540</v>
      </c>
      <c r="D173" s="393">
        <v>2861</v>
      </c>
      <c r="E173" s="393">
        <v>6121</v>
      </c>
      <c r="F173" s="402">
        <v>49</v>
      </c>
      <c r="G173" s="394" t="s">
        <v>589</v>
      </c>
      <c r="H173" s="393">
        <v>2013</v>
      </c>
      <c r="I173" s="423">
        <v>2017</v>
      </c>
      <c r="J173" s="420">
        <v>27079</v>
      </c>
      <c r="K173" s="420"/>
      <c r="L173" s="420">
        <v>970</v>
      </c>
      <c r="M173" s="421">
        <v>27000</v>
      </c>
      <c r="N173" s="421">
        <v>18650</v>
      </c>
      <c r="O173" s="420">
        <v>18608</v>
      </c>
      <c r="P173" s="399">
        <f t="shared" si="24"/>
        <v>0.99774798927613939</v>
      </c>
      <c r="Q173" s="421">
        <v>8309</v>
      </c>
      <c r="R173" s="400"/>
      <c r="S173" s="401"/>
      <c r="T173" s="402" t="s">
        <v>519</v>
      </c>
      <c r="U173" s="403"/>
      <c r="V173" s="404">
        <f t="shared" si="26"/>
        <v>-850</v>
      </c>
      <c r="W173" s="405" t="str">
        <f>IF(AND(P173&lt;[3]koment!$F$1,N173&gt;=[3]koment!$F$2),"Komentovat","")</f>
        <v/>
      </c>
      <c r="X173" s="406">
        <f t="shared" si="25"/>
        <v>15</v>
      </c>
      <c r="Y173" s="404">
        <f t="shared" si="27"/>
        <v>5600</v>
      </c>
      <c r="Z173" s="407" t="str">
        <f t="shared" si="28"/>
        <v>ORG 2861 - Vančurova, Gajdošova I - rekonstrukce kanalizace a vodovodu</v>
      </c>
      <c r="AA173" s="408" t="str">
        <f t="shared" si="29"/>
        <v>560023212861612149</v>
      </c>
      <c r="AB173" s="388"/>
      <c r="AC173" s="409">
        <f t="shared" si="22"/>
        <v>-850</v>
      </c>
      <c r="AD173" s="388"/>
      <c r="AE173" s="388"/>
      <c r="AF173" s="388"/>
    </row>
    <row r="174" spans="1:32" outlineLevel="2" x14ac:dyDescent="0.2">
      <c r="A174" s="391">
        <f t="shared" si="23"/>
        <v>172</v>
      </c>
      <c r="B174" s="422" t="s">
        <v>420</v>
      </c>
      <c r="C174" s="393" t="s">
        <v>540</v>
      </c>
      <c r="D174" s="393">
        <v>2862</v>
      </c>
      <c r="E174" s="393">
        <v>6121</v>
      </c>
      <c r="F174" s="402">
        <v>49</v>
      </c>
      <c r="G174" s="394" t="s">
        <v>590</v>
      </c>
      <c r="H174" s="393">
        <v>2013</v>
      </c>
      <c r="I174" s="423">
        <v>2017</v>
      </c>
      <c r="J174" s="420">
        <v>41551</v>
      </c>
      <c r="K174" s="420"/>
      <c r="L174" s="420">
        <v>917</v>
      </c>
      <c r="M174" s="421">
        <v>4000</v>
      </c>
      <c r="N174" s="421">
        <f>4000+8450</f>
        <v>12450</v>
      </c>
      <c r="O174" s="420">
        <v>12314</v>
      </c>
      <c r="P174" s="399">
        <f t="shared" si="24"/>
        <v>0.98907630522088352</v>
      </c>
      <c r="Q174" s="421">
        <v>28187</v>
      </c>
      <c r="R174" s="400"/>
      <c r="S174" s="401"/>
      <c r="T174" s="402" t="s">
        <v>519</v>
      </c>
      <c r="U174" s="403"/>
      <c r="V174" s="404">
        <f t="shared" si="26"/>
        <v>-3</v>
      </c>
      <c r="W174" s="405" t="str">
        <f>IF(AND(P174&lt;[3]koment!$F$1,N174&gt;=[3]koment!$F$2),"Komentovat","")</f>
        <v/>
      </c>
      <c r="X174" s="406">
        <f t="shared" si="25"/>
        <v>15</v>
      </c>
      <c r="Y174" s="404">
        <f t="shared" si="27"/>
        <v>5600</v>
      </c>
      <c r="Z174" s="407" t="str">
        <f t="shared" si="28"/>
        <v>ORG 2862 - Húskova - rekonstrukce kanalizace a vodovodu</v>
      </c>
      <c r="AA174" s="408" t="str">
        <f t="shared" si="29"/>
        <v>560023212862612149</v>
      </c>
      <c r="AB174" s="388"/>
      <c r="AC174" s="409">
        <f t="shared" si="22"/>
        <v>-3</v>
      </c>
      <c r="AD174" s="388"/>
      <c r="AE174" s="388"/>
      <c r="AF174" s="388"/>
    </row>
    <row r="175" spans="1:32" outlineLevel="2" x14ac:dyDescent="0.2">
      <c r="A175" s="391">
        <f t="shared" si="23"/>
        <v>173</v>
      </c>
      <c r="B175" s="422" t="s">
        <v>420</v>
      </c>
      <c r="C175" s="393" t="s">
        <v>540</v>
      </c>
      <c r="D175" s="393">
        <v>2863</v>
      </c>
      <c r="E175" s="393">
        <v>6121</v>
      </c>
      <c r="F175" s="402">
        <v>49</v>
      </c>
      <c r="G175" s="394" t="s">
        <v>591</v>
      </c>
      <c r="H175" s="393">
        <v>2013</v>
      </c>
      <c r="I175" s="423">
        <v>2019</v>
      </c>
      <c r="J175" s="420">
        <v>78000</v>
      </c>
      <c r="K175" s="420"/>
      <c r="L175" s="420">
        <v>0</v>
      </c>
      <c r="M175" s="421">
        <v>2140</v>
      </c>
      <c r="N175" s="421">
        <v>2140</v>
      </c>
      <c r="O175" s="420">
        <v>2034</v>
      </c>
      <c r="P175" s="399">
        <f t="shared" si="24"/>
        <v>0.95046728971962613</v>
      </c>
      <c r="Q175" s="421">
        <v>50</v>
      </c>
      <c r="R175" s="400">
        <v>5034</v>
      </c>
      <c r="S175" s="401">
        <v>70776</v>
      </c>
      <c r="T175" s="402" t="s">
        <v>519</v>
      </c>
      <c r="U175" s="403"/>
      <c r="V175" s="404">
        <f t="shared" si="26"/>
        <v>0</v>
      </c>
      <c r="W175" s="405" t="str">
        <f>IF(AND(P175&lt;[3]koment!$F$1,N175&gt;=[3]koment!$F$2),"Komentovat","")</f>
        <v/>
      </c>
      <c r="X175" s="406">
        <f t="shared" si="25"/>
        <v>15</v>
      </c>
      <c r="Y175" s="404" t="str">
        <f t="shared" si="27"/>
        <v xml:space="preserve"> </v>
      </c>
      <c r="Z175" s="407">
        <f t="shared" si="28"/>
        <v>0</v>
      </c>
      <c r="AA175" s="408" t="str">
        <f t="shared" si="29"/>
        <v>560023212863612149</v>
      </c>
      <c r="AB175" s="388"/>
      <c r="AC175" s="409">
        <f t="shared" si="22"/>
        <v>0</v>
      </c>
      <c r="AD175" s="388"/>
      <c r="AE175" s="388"/>
      <c r="AF175" s="388"/>
    </row>
    <row r="176" spans="1:32" outlineLevel="2" x14ac:dyDescent="0.2">
      <c r="A176" s="391">
        <f t="shared" si="23"/>
        <v>174</v>
      </c>
      <c r="B176" s="422" t="s">
        <v>420</v>
      </c>
      <c r="C176" s="393" t="s">
        <v>540</v>
      </c>
      <c r="D176" s="393">
        <v>2864</v>
      </c>
      <c r="E176" s="393">
        <v>6121</v>
      </c>
      <c r="F176" s="402">
        <v>49</v>
      </c>
      <c r="G176" s="394" t="s">
        <v>592</v>
      </c>
      <c r="H176" s="393">
        <v>2013</v>
      </c>
      <c r="I176" s="423">
        <v>2017</v>
      </c>
      <c r="J176" s="420">
        <v>24877</v>
      </c>
      <c r="K176" s="420"/>
      <c r="L176" s="420">
        <v>894</v>
      </c>
      <c r="M176" s="421">
        <v>14000</v>
      </c>
      <c r="N176" s="421">
        <v>15350</v>
      </c>
      <c r="O176" s="420">
        <v>15313</v>
      </c>
      <c r="P176" s="399">
        <f t="shared" si="24"/>
        <v>0.99758957654723124</v>
      </c>
      <c r="Q176" s="421">
        <v>8633</v>
      </c>
      <c r="R176" s="400"/>
      <c r="S176" s="401"/>
      <c r="T176" s="402" t="s">
        <v>519</v>
      </c>
      <c r="U176" s="403"/>
      <c r="V176" s="404">
        <f t="shared" si="26"/>
        <v>0</v>
      </c>
      <c r="W176" s="405" t="str">
        <f>IF(AND(P176&lt;[3]koment!$F$1,N176&gt;=[3]koment!$F$2),"Komentovat","")</f>
        <v/>
      </c>
      <c r="X176" s="406">
        <f t="shared" si="25"/>
        <v>15</v>
      </c>
      <c r="Y176" s="404" t="str">
        <f t="shared" si="27"/>
        <v xml:space="preserve"> </v>
      </c>
      <c r="Z176" s="407">
        <f t="shared" si="28"/>
        <v>0</v>
      </c>
      <c r="AA176" s="408" t="str">
        <f t="shared" si="29"/>
        <v>560023212864612149</v>
      </c>
      <c r="AB176" s="388"/>
      <c r="AC176" s="409">
        <f t="shared" si="22"/>
        <v>0</v>
      </c>
      <c r="AD176" s="388"/>
      <c r="AE176" s="388"/>
      <c r="AF176" s="388"/>
    </row>
    <row r="177" spans="1:32" outlineLevel="2" x14ac:dyDescent="0.2">
      <c r="A177" s="391">
        <f t="shared" si="23"/>
        <v>175</v>
      </c>
      <c r="B177" s="422" t="s">
        <v>420</v>
      </c>
      <c r="C177" s="393" t="s">
        <v>540</v>
      </c>
      <c r="D177" s="393">
        <v>2865</v>
      </c>
      <c r="E177" s="393">
        <v>6121</v>
      </c>
      <c r="F177" s="402">
        <v>49</v>
      </c>
      <c r="G177" s="394" t="s">
        <v>593</v>
      </c>
      <c r="H177" s="393">
        <v>2013</v>
      </c>
      <c r="I177" s="423">
        <v>2022</v>
      </c>
      <c r="J177" s="420">
        <v>140342</v>
      </c>
      <c r="K177" s="420"/>
      <c r="L177" s="420">
        <v>0</v>
      </c>
      <c r="M177" s="421">
        <v>1670</v>
      </c>
      <c r="N177" s="421">
        <v>2458</v>
      </c>
      <c r="O177" s="420">
        <v>1689</v>
      </c>
      <c r="P177" s="399">
        <f t="shared" si="24"/>
        <v>0.68714401952807158</v>
      </c>
      <c r="Q177" s="421">
        <v>100</v>
      </c>
      <c r="R177" s="400">
        <v>100</v>
      </c>
      <c r="S177" s="401">
        <v>137602</v>
      </c>
      <c r="T177" s="402" t="s">
        <v>519</v>
      </c>
      <c r="U177" s="403"/>
      <c r="V177" s="404">
        <f t="shared" si="26"/>
        <v>82</v>
      </c>
      <c r="W177" s="405" t="str">
        <f>IF(AND(P177&lt;[3]koment!$F$1,N177&gt;=[3]koment!$F$2),"Komentovat","")</f>
        <v>Komentovat</v>
      </c>
      <c r="X177" s="406">
        <f t="shared" si="25"/>
        <v>16</v>
      </c>
      <c r="Y177" s="404">
        <f t="shared" si="27"/>
        <v>5600</v>
      </c>
      <c r="Z177" s="407" t="str">
        <f t="shared" si="28"/>
        <v>ORG 2865 - Fryčajova - rekonstrukce kanalizace a vodovodu</v>
      </c>
      <c r="AA177" s="408" t="str">
        <f t="shared" si="29"/>
        <v>560023212865612149</v>
      </c>
      <c r="AB177" s="388"/>
      <c r="AC177" s="409">
        <f t="shared" si="22"/>
        <v>82</v>
      </c>
      <c r="AD177" s="388"/>
      <c r="AE177" s="388"/>
      <c r="AF177" s="388"/>
    </row>
    <row r="178" spans="1:32" outlineLevel="2" x14ac:dyDescent="0.2">
      <c r="A178" s="391">
        <f t="shared" si="23"/>
        <v>176</v>
      </c>
      <c r="B178" s="392" t="s">
        <v>420</v>
      </c>
      <c r="C178" s="393" t="s">
        <v>540</v>
      </c>
      <c r="D178" s="394">
        <v>2865</v>
      </c>
      <c r="E178" s="393">
        <v>6130</v>
      </c>
      <c r="F178" s="395">
        <v>49</v>
      </c>
      <c r="G178" s="394" t="s">
        <v>593</v>
      </c>
      <c r="H178" s="394">
        <v>2013</v>
      </c>
      <c r="I178" s="394">
        <v>2022</v>
      </c>
      <c r="J178" s="396"/>
      <c r="K178" s="396"/>
      <c r="L178" s="397"/>
      <c r="M178" s="398"/>
      <c r="N178" s="398">
        <v>82</v>
      </c>
      <c r="O178" s="396">
        <v>82</v>
      </c>
      <c r="P178" s="399">
        <f t="shared" si="24"/>
        <v>1</v>
      </c>
      <c r="Q178" s="398"/>
      <c r="R178" s="400"/>
      <c r="S178" s="401"/>
      <c r="T178" s="402" t="s">
        <v>519</v>
      </c>
      <c r="U178" s="403"/>
      <c r="V178" s="404">
        <f t="shared" si="26"/>
        <v>-82</v>
      </c>
      <c r="W178" s="405" t="str">
        <f>IF(AND(P178&lt;[3]koment!$F$1,N178&gt;=[3]koment!$F$2),"Komentovat","")</f>
        <v/>
      </c>
      <c r="X178" s="406">
        <f t="shared" si="25"/>
        <v>16</v>
      </c>
      <c r="Y178" s="404">
        <f t="shared" si="27"/>
        <v>5600</v>
      </c>
      <c r="Z178" s="407" t="str">
        <f t="shared" si="28"/>
        <v>ORG 2865 - Fryčajova - rekonstrukce kanalizace a vodovodu</v>
      </c>
      <c r="AA178" s="408" t="str">
        <f t="shared" si="29"/>
        <v>560023212865613049</v>
      </c>
      <c r="AB178" s="388"/>
      <c r="AC178" s="409">
        <f t="shared" si="22"/>
        <v>-82</v>
      </c>
      <c r="AD178" s="388"/>
      <c r="AE178" s="388"/>
      <c r="AF178" s="388"/>
    </row>
    <row r="179" spans="1:32" outlineLevel="2" x14ac:dyDescent="0.2">
      <c r="A179" s="391">
        <f t="shared" si="23"/>
        <v>177</v>
      </c>
      <c r="B179" s="422" t="s">
        <v>420</v>
      </c>
      <c r="C179" s="393" t="s">
        <v>540</v>
      </c>
      <c r="D179" s="393">
        <v>2866</v>
      </c>
      <c r="E179" s="393">
        <v>6121</v>
      </c>
      <c r="F179" s="402">
        <v>49</v>
      </c>
      <c r="G179" s="394" t="s">
        <v>594</v>
      </c>
      <c r="H179" s="393">
        <v>2013</v>
      </c>
      <c r="I179" s="423">
        <v>2023</v>
      </c>
      <c r="J179" s="420">
        <v>63856</v>
      </c>
      <c r="K179" s="420"/>
      <c r="L179" s="420">
        <v>0</v>
      </c>
      <c r="M179" s="421">
        <v>50</v>
      </c>
      <c r="N179" s="421">
        <f>50-50</f>
        <v>0</v>
      </c>
      <c r="O179" s="420"/>
      <c r="P179" s="399" t="str">
        <f t="shared" si="24"/>
        <v xml:space="preserve"> </v>
      </c>
      <c r="Q179" s="421">
        <v>0</v>
      </c>
      <c r="R179" s="400">
        <v>2200</v>
      </c>
      <c r="S179" s="401">
        <v>61656</v>
      </c>
      <c r="T179" s="402" t="s">
        <v>519</v>
      </c>
      <c r="U179" s="403"/>
      <c r="V179" s="404">
        <f t="shared" si="26"/>
        <v>0</v>
      </c>
      <c r="W179" s="405" t="str">
        <f>IF(AND(P179&lt;[3]koment!$F$1,N179&gt;=[3]koment!$F$2),"Komentovat","")</f>
        <v/>
      </c>
      <c r="X179" s="406">
        <f t="shared" si="25"/>
        <v>16</v>
      </c>
      <c r="Y179" s="404" t="str">
        <f t="shared" si="27"/>
        <v xml:space="preserve"> </v>
      </c>
      <c r="Z179" s="407">
        <f t="shared" si="28"/>
        <v>0</v>
      </c>
      <c r="AA179" s="408" t="str">
        <f t="shared" si="29"/>
        <v>560023212866612149</v>
      </c>
      <c r="AB179" s="388"/>
      <c r="AC179" s="409">
        <f t="shared" si="22"/>
        <v>0</v>
      </c>
      <c r="AD179" s="388"/>
      <c r="AE179" s="388"/>
      <c r="AF179" s="388"/>
    </row>
    <row r="180" spans="1:32" outlineLevel="2" x14ac:dyDescent="0.2">
      <c r="A180" s="391">
        <f t="shared" si="23"/>
        <v>178</v>
      </c>
      <c r="B180" s="392" t="s">
        <v>420</v>
      </c>
      <c r="C180" s="393" t="s">
        <v>540</v>
      </c>
      <c r="D180" s="394">
        <v>2867</v>
      </c>
      <c r="E180" s="393">
        <v>6121</v>
      </c>
      <c r="F180" s="395">
        <v>49</v>
      </c>
      <c r="G180" s="426" t="s">
        <v>595</v>
      </c>
      <c r="H180" s="394">
        <v>2013</v>
      </c>
      <c r="I180" s="394">
        <v>2021</v>
      </c>
      <c r="J180" s="396">
        <v>86800</v>
      </c>
      <c r="K180" s="396"/>
      <c r="L180" s="397"/>
      <c r="M180" s="398">
        <v>50</v>
      </c>
      <c r="N180" s="398">
        <v>0</v>
      </c>
      <c r="O180" s="396"/>
      <c r="P180" s="399" t="str">
        <f t="shared" si="24"/>
        <v xml:space="preserve"> </v>
      </c>
      <c r="Q180" s="398">
        <v>50</v>
      </c>
      <c r="R180" s="400">
        <v>4200</v>
      </c>
      <c r="S180" s="401">
        <v>82550</v>
      </c>
      <c r="T180" s="402" t="s">
        <v>519</v>
      </c>
      <c r="U180" s="403"/>
      <c r="V180" s="404">
        <f t="shared" si="26"/>
        <v>0</v>
      </c>
      <c r="W180" s="405" t="str">
        <f>IF(AND(P180&lt;[3]koment!$F$1,N180&gt;=[3]koment!$F$2),"Komentovat","")</f>
        <v/>
      </c>
      <c r="X180" s="406">
        <f t="shared" si="25"/>
        <v>16</v>
      </c>
      <c r="Y180" s="404" t="str">
        <f t="shared" si="27"/>
        <v xml:space="preserve"> </v>
      </c>
      <c r="Z180" s="407">
        <f t="shared" si="28"/>
        <v>0</v>
      </c>
      <c r="AA180" s="408" t="str">
        <f t="shared" si="29"/>
        <v>560023212867612149</v>
      </c>
      <c r="AB180" s="388"/>
      <c r="AC180" s="409">
        <f t="shared" si="22"/>
        <v>0</v>
      </c>
      <c r="AD180" s="388"/>
      <c r="AE180" s="388"/>
      <c r="AF180" s="388"/>
    </row>
    <row r="181" spans="1:32" outlineLevel="2" x14ac:dyDescent="0.2">
      <c r="A181" s="391">
        <f t="shared" si="23"/>
        <v>179</v>
      </c>
      <c r="B181" s="422" t="s">
        <v>420</v>
      </c>
      <c r="C181" s="393" t="s">
        <v>540</v>
      </c>
      <c r="D181" s="393">
        <v>2868</v>
      </c>
      <c r="E181" s="393">
        <v>6121</v>
      </c>
      <c r="F181" s="402">
        <v>49</v>
      </c>
      <c r="G181" s="394" t="s">
        <v>596</v>
      </c>
      <c r="H181" s="393">
        <v>2013</v>
      </c>
      <c r="I181" s="423">
        <v>2021</v>
      </c>
      <c r="J181" s="420">
        <v>19852</v>
      </c>
      <c r="K181" s="420"/>
      <c r="L181" s="420">
        <v>936</v>
      </c>
      <c r="M181" s="421">
        <v>4200</v>
      </c>
      <c r="N181" s="421">
        <v>0</v>
      </c>
      <c r="O181" s="420">
        <v>0</v>
      </c>
      <c r="P181" s="399" t="str">
        <f t="shared" si="24"/>
        <v xml:space="preserve"> </v>
      </c>
      <c r="Q181" s="421">
        <v>0</v>
      </c>
      <c r="R181" s="400"/>
      <c r="S181" s="401">
        <v>18916</v>
      </c>
      <c r="T181" s="402" t="s">
        <v>519</v>
      </c>
      <c r="U181" s="403"/>
      <c r="V181" s="404">
        <f t="shared" si="26"/>
        <v>0</v>
      </c>
      <c r="W181" s="405" t="str">
        <f>IF(AND(P181&lt;[3]koment!$F$1,N181&gt;=[3]koment!$F$2),"Komentovat","")</f>
        <v/>
      </c>
      <c r="X181" s="406">
        <f t="shared" si="25"/>
        <v>16</v>
      </c>
      <c r="Y181" s="404" t="str">
        <f t="shared" si="27"/>
        <v xml:space="preserve"> </v>
      </c>
      <c r="Z181" s="407">
        <f t="shared" si="28"/>
        <v>0</v>
      </c>
      <c r="AA181" s="408" t="str">
        <f t="shared" si="29"/>
        <v>560023212868612149</v>
      </c>
      <c r="AB181" s="388"/>
      <c r="AC181" s="409">
        <f t="shared" si="22"/>
        <v>0</v>
      </c>
      <c r="AD181" s="388"/>
      <c r="AE181" s="388"/>
      <c r="AF181" s="388"/>
    </row>
    <row r="182" spans="1:32" outlineLevel="2" x14ac:dyDescent="0.2">
      <c r="A182" s="391">
        <f t="shared" si="23"/>
        <v>180</v>
      </c>
      <c r="B182" s="422" t="s">
        <v>420</v>
      </c>
      <c r="C182" s="393" t="s">
        <v>540</v>
      </c>
      <c r="D182" s="393">
        <v>2871</v>
      </c>
      <c r="E182" s="393">
        <v>6121</v>
      </c>
      <c r="F182" s="402">
        <v>49</v>
      </c>
      <c r="G182" s="394" t="s">
        <v>597</v>
      </c>
      <c r="H182" s="393">
        <v>2013</v>
      </c>
      <c r="I182" s="423">
        <v>2016</v>
      </c>
      <c r="J182" s="420">
        <v>3914</v>
      </c>
      <c r="K182" s="420"/>
      <c r="L182" s="420">
        <v>404</v>
      </c>
      <c r="M182" s="421">
        <v>3304</v>
      </c>
      <c r="N182" s="421">
        <v>3510</v>
      </c>
      <c r="O182" s="420">
        <v>3499</v>
      </c>
      <c r="P182" s="399">
        <f t="shared" si="24"/>
        <v>0.99686609686609684</v>
      </c>
      <c r="Q182" s="421"/>
      <c r="R182" s="400"/>
      <c r="S182" s="401"/>
      <c r="T182" s="402" t="s">
        <v>519</v>
      </c>
      <c r="U182" s="403"/>
      <c r="V182" s="404">
        <f t="shared" si="26"/>
        <v>0</v>
      </c>
      <c r="W182" s="405" t="str">
        <f>IF(AND(P182&lt;[3]koment!$F$1,N182&gt;=[3]koment!$F$2),"Komentovat","")</f>
        <v/>
      </c>
      <c r="X182" s="406">
        <f t="shared" si="25"/>
        <v>16</v>
      </c>
      <c r="Y182" s="404" t="str">
        <f t="shared" si="27"/>
        <v xml:space="preserve"> </v>
      </c>
      <c r="Z182" s="407">
        <f t="shared" si="28"/>
        <v>0</v>
      </c>
      <c r="AA182" s="408" t="str">
        <f t="shared" si="29"/>
        <v>560023212871612149</v>
      </c>
      <c r="AB182" s="388"/>
      <c r="AC182" s="409">
        <f t="shared" si="22"/>
        <v>0</v>
      </c>
      <c r="AD182" s="388"/>
      <c r="AE182" s="388"/>
      <c r="AF182" s="388"/>
    </row>
    <row r="183" spans="1:32" outlineLevel="2" x14ac:dyDescent="0.2">
      <c r="A183" s="391">
        <f t="shared" si="23"/>
        <v>181</v>
      </c>
      <c r="B183" s="422" t="s">
        <v>420</v>
      </c>
      <c r="C183" s="393" t="s">
        <v>540</v>
      </c>
      <c r="D183" s="393">
        <v>2872</v>
      </c>
      <c r="E183" s="393">
        <v>6121</v>
      </c>
      <c r="F183" s="402">
        <v>49</v>
      </c>
      <c r="G183" s="394" t="s">
        <v>598</v>
      </c>
      <c r="H183" s="393">
        <v>2013</v>
      </c>
      <c r="I183" s="423">
        <v>2017</v>
      </c>
      <c r="J183" s="420">
        <v>29828</v>
      </c>
      <c r="K183" s="420"/>
      <c r="L183" s="420">
        <v>951</v>
      </c>
      <c r="M183" s="421">
        <v>8357</v>
      </c>
      <c r="N183" s="421">
        <v>6500</v>
      </c>
      <c r="O183" s="420">
        <v>6476</v>
      </c>
      <c r="P183" s="399">
        <f t="shared" si="24"/>
        <v>0.99630769230769234</v>
      </c>
      <c r="Q183" s="421">
        <v>22376</v>
      </c>
      <c r="R183" s="400"/>
      <c r="S183" s="401"/>
      <c r="T183" s="402" t="s">
        <v>519</v>
      </c>
      <c r="U183" s="403"/>
      <c r="V183" s="404">
        <f t="shared" si="26"/>
        <v>1</v>
      </c>
      <c r="W183" s="405" t="str">
        <f>IF(AND(P183&lt;[3]koment!$F$1,N183&gt;=[3]koment!$F$2),"Komentovat","")</f>
        <v/>
      </c>
      <c r="X183" s="406">
        <f t="shared" si="25"/>
        <v>16</v>
      </c>
      <c r="Y183" s="404">
        <f t="shared" si="27"/>
        <v>5600</v>
      </c>
      <c r="Z183" s="407" t="str">
        <f t="shared" si="28"/>
        <v>ORG 2872 - Luční - rekonstrukce kanalizace a vodovodu</v>
      </c>
      <c r="AA183" s="408" t="str">
        <f t="shared" si="29"/>
        <v>560023212872612149</v>
      </c>
      <c r="AB183" s="388"/>
      <c r="AC183" s="409">
        <f t="shared" si="22"/>
        <v>1</v>
      </c>
      <c r="AD183" s="388"/>
      <c r="AE183" s="388"/>
      <c r="AF183" s="388"/>
    </row>
    <row r="184" spans="1:32" outlineLevel="2" x14ac:dyDescent="0.2">
      <c r="A184" s="391">
        <f t="shared" si="23"/>
        <v>182</v>
      </c>
      <c r="B184" s="422" t="s">
        <v>420</v>
      </c>
      <c r="C184" s="393" t="s">
        <v>540</v>
      </c>
      <c r="D184" s="393">
        <v>2873</v>
      </c>
      <c r="E184" s="393">
        <v>6121</v>
      </c>
      <c r="F184" s="402">
        <v>49</v>
      </c>
      <c r="G184" s="394" t="s">
        <v>599</v>
      </c>
      <c r="H184" s="393">
        <v>2013</v>
      </c>
      <c r="I184" s="423">
        <v>2017</v>
      </c>
      <c r="J184" s="420">
        <v>33011</v>
      </c>
      <c r="K184" s="420"/>
      <c r="L184" s="420">
        <v>934</v>
      </c>
      <c r="M184" s="421">
        <v>6286</v>
      </c>
      <c r="N184" s="421">
        <v>3800</v>
      </c>
      <c r="O184" s="420">
        <v>3118</v>
      </c>
      <c r="P184" s="399">
        <f t="shared" si="24"/>
        <v>0.82052631578947366</v>
      </c>
      <c r="Q184" s="421">
        <v>28276</v>
      </c>
      <c r="R184" s="400"/>
      <c r="S184" s="401"/>
      <c r="T184" s="402" t="s">
        <v>519</v>
      </c>
      <c r="U184" s="403"/>
      <c r="V184" s="404">
        <f t="shared" si="26"/>
        <v>1</v>
      </c>
      <c r="W184" s="405" t="str">
        <f>IF(AND(P184&lt;[3]koment!$F$1,N184&gt;=[3]koment!$F$2),"Komentovat","")</f>
        <v/>
      </c>
      <c r="X184" s="406">
        <f t="shared" si="25"/>
        <v>16</v>
      </c>
      <c r="Y184" s="404">
        <f t="shared" si="27"/>
        <v>5600</v>
      </c>
      <c r="Z184" s="407" t="str">
        <f t="shared" si="28"/>
        <v>ORG 2873 - Jugoslávská - rek. kan. a vod. (Vranovská - Merhaut.)</v>
      </c>
      <c r="AA184" s="408" t="str">
        <f t="shared" si="29"/>
        <v>560023212873612149</v>
      </c>
      <c r="AB184" s="388"/>
      <c r="AC184" s="409">
        <f t="shared" si="22"/>
        <v>1</v>
      </c>
      <c r="AD184" s="388"/>
      <c r="AE184" s="388"/>
      <c r="AF184" s="388"/>
    </row>
    <row r="185" spans="1:32" outlineLevel="2" x14ac:dyDescent="0.2">
      <c r="A185" s="391">
        <f t="shared" si="23"/>
        <v>183</v>
      </c>
      <c r="B185" s="422" t="s">
        <v>420</v>
      </c>
      <c r="C185" s="393" t="s">
        <v>540</v>
      </c>
      <c r="D185" s="393">
        <v>2880</v>
      </c>
      <c r="E185" s="393">
        <v>6121</v>
      </c>
      <c r="F185" s="402">
        <v>49</v>
      </c>
      <c r="G185" s="394" t="s">
        <v>600</v>
      </c>
      <c r="H185" s="393">
        <v>2013</v>
      </c>
      <c r="I185" s="423">
        <v>2021</v>
      </c>
      <c r="J185" s="420">
        <v>24247</v>
      </c>
      <c r="K185" s="420"/>
      <c r="L185" s="420">
        <v>976</v>
      </c>
      <c r="M185" s="421">
        <v>50</v>
      </c>
      <c r="N185" s="421">
        <v>50</v>
      </c>
      <c r="O185" s="420"/>
      <c r="P185" s="399">
        <f t="shared" si="24"/>
        <v>0</v>
      </c>
      <c r="Q185" s="421">
        <v>50</v>
      </c>
      <c r="R185" s="400">
        <v>50</v>
      </c>
      <c r="S185" s="401">
        <v>23121</v>
      </c>
      <c r="T185" s="402" t="s">
        <v>519</v>
      </c>
      <c r="U185" s="403"/>
      <c r="V185" s="404">
        <f t="shared" si="26"/>
        <v>0</v>
      </c>
      <c r="W185" s="405" t="str">
        <f>IF(AND(P185&lt;[3]koment!$F$1,N185&gt;=[3]koment!$F$2),"Komentovat","")</f>
        <v/>
      </c>
      <c r="X185" s="406">
        <f t="shared" si="25"/>
        <v>16</v>
      </c>
      <c r="Y185" s="404" t="str">
        <f t="shared" si="27"/>
        <v xml:space="preserve"> </v>
      </c>
      <c r="Z185" s="407">
        <f t="shared" si="28"/>
        <v>0</v>
      </c>
      <c r="AA185" s="408" t="str">
        <f t="shared" si="29"/>
        <v>560023212880612149</v>
      </c>
      <c r="AB185" s="388"/>
      <c r="AC185" s="409">
        <f t="shared" si="22"/>
        <v>0</v>
      </c>
      <c r="AD185" s="388"/>
      <c r="AE185" s="388"/>
      <c r="AF185" s="388"/>
    </row>
    <row r="186" spans="1:32" outlineLevel="2" x14ac:dyDescent="0.2">
      <c r="A186" s="391">
        <f t="shared" si="23"/>
        <v>184</v>
      </c>
      <c r="B186" s="423">
        <v>5600</v>
      </c>
      <c r="C186" s="393" t="s">
        <v>540</v>
      </c>
      <c r="D186" s="393">
        <v>2881</v>
      </c>
      <c r="E186" s="393">
        <v>6121</v>
      </c>
      <c r="F186" s="402">
        <v>49</v>
      </c>
      <c r="G186" s="394" t="s">
        <v>601</v>
      </c>
      <c r="H186" s="393">
        <v>2013</v>
      </c>
      <c r="I186" s="423">
        <v>2019</v>
      </c>
      <c r="J186" s="420">
        <v>46600</v>
      </c>
      <c r="K186" s="420"/>
      <c r="L186" s="420">
        <v>534</v>
      </c>
      <c r="M186" s="421">
        <v>750</v>
      </c>
      <c r="N186" s="421">
        <v>5</v>
      </c>
      <c r="O186" s="420">
        <v>1</v>
      </c>
      <c r="P186" s="399">
        <f t="shared" si="24"/>
        <v>0.2</v>
      </c>
      <c r="Q186" s="421">
        <v>800</v>
      </c>
      <c r="R186" s="400">
        <v>3000</v>
      </c>
      <c r="S186" s="401">
        <v>42235</v>
      </c>
      <c r="T186" s="402" t="s">
        <v>519</v>
      </c>
      <c r="U186" s="403"/>
      <c r="V186" s="404">
        <f t="shared" si="26"/>
        <v>26</v>
      </c>
      <c r="W186" s="405" t="str">
        <f>IF(AND(P186&lt;[3]koment!$F$1,N186&gt;=[3]koment!$F$2),"Komentovat","")</f>
        <v/>
      </c>
      <c r="X186" s="406">
        <f t="shared" si="25"/>
        <v>16</v>
      </c>
      <c r="Y186" s="404">
        <f t="shared" si="27"/>
        <v>5600</v>
      </c>
      <c r="Z186" s="407" t="str">
        <f t="shared" si="28"/>
        <v>ORG 2881 - Viniční II- rek.kanal. (úsek Hrabalova-Škrochova)</v>
      </c>
      <c r="AA186" s="408" t="str">
        <f t="shared" si="29"/>
        <v>560023212881612149</v>
      </c>
      <c r="AB186" s="388"/>
      <c r="AC186" s="409">
        <f t="shared" si="22"/>
        <v>26</v>
      </c>
      <c r="AD186" s="388"/>
      <c r="AE186" s="388"/>
      <c r="AF186" s="388"/>
    </row>
    <row r="187" spans="1:32" outlineLevel="2" x14ac:dyDescent="0.2">
      <c r="A187" s="391">
        <f t="shared" si="23"/>
        <v>185</v>
      </c>
      <c r="B187" s="392" t="s">
        <v>420</v>
      </c>
      <c r="C187" s="393" t="s">
        <v>540</v>
      </c>
      <c r="D187" s="394">
        <v>2881</v>
      </c>
      <c r="E187" s="393">
        <v>6130</v>
      </c>
      <c r="F187" s="395">
        <v>49</v>
      </c>
      <c r="G187" s="394" t="s">
        <v>601</v>
      </c>
      <c r="H187" s="393">
        <v>2013</v>
      </c>
      <c r="I187" s="423">
        <v>2019</v>
      </c>
      <c r="J187" s="396"/>
      <c r="K187" s="396"/>
      <c r="L187" s="397"/>
      <c r="M187" s="398"/>
      <c r="N187" s="398">
        <v>25</v>
      </c>
      <c r="O187" s="396">
        <v>25</v>
      </c>
      <c r="P187" s="399">
        <f t="shared" si="24"/>
        <v>1</v>
      </c>
      <c r="Q187" s="398"/>
      <c r="R187" s="400"/>
      <c r="S187" s="401"/>
      <c r="T187" s="402" t="s">
        <v>519</v>
      </c>
      <c r="U187" s="403"/>
      <c r="V187" s="404">
        <f t="shared" si="26"/>
        <v>-25</v>
      </c>
      <c r="W187" s="405" t="str">
        <f>IF(AND(P187&lt;[3]koment!$F$1,N187&gt;=[3]koment!$F$2),"Komentovat","")</f>
        <v/>
      </c>
      <c r="X187" s="406">
        <f t="shared" si="25"/>
        <v>16</v>
      </c>
      <c r="Y187" s="404">
        <f t="shared" si="27"/>
        <v>5600</v>
      </c>
      <c r="Z187" s="407" t="str">
        <f t="shared" si="28"/>
        <v>ORG 2881 - Viniční II- rek.kanal. (úsek Hrabalova-Škrochova)</v>
      </c>
      <c r="AA187" s="408" t="str">
        <f t="shared" si="29"/>
        <v>560023212881613049</v>
      </c>
      <c r="AB187" s="388"/>
      <c r="AC187" s="409">
        <f t="shared" si="22"/>
        <v>-25</v>
      </c>
      <c r="AD187" s="388"/>
      <c r="AE187" s="388"/>
      <c r="AF187" s="388"/>
    </row>
    <row r="188" spans="1:32" outlineLevel="2" x14ac:dyDescent="0.2">
      <c r="A188" s="391">
        <f t="shared" si="23"/>
        <v>186</v>
      </c>
      <c r="B188" s="393">
        <v>5600</v>
      </c>
      <c r="C188" s="393" t="s">
        <v>540</v>
      </c>
      <c r="D188" s="393">
        <v>2889</v>
      </c>
      <c r="E188" s="393">
        <v>6121</v>
      </c>
      <c r="F188" s="402">
        <v>49</v>
      </c>
      <c r="G188" s="394" t="s">
        <v>602</v>
      </c>
      <c r="H188" s="393">
        <v>2012</v>
      </c>
      <c r="I188" s="423">
        <v>2018</v>
      </c>
      <c r="J188" s="420">
        <v>118900</v>
      </c>
      <c r="K188" s="420"/>
      <c r="L188" s="420">
        <v>960</v>
      </c>
      <c r="M188" s="421">
        <v>1060</v>
      </c>
      <c r="N188" s="421">
        <v>1060</v>
      </c>
      <c r="O188" s="420">
        <v>1053</v>
      </c>
      <c r="P188" s="399">
        <f t="shared" si="24"/>
        <v>0.99339622641509429</v>
      </c>
      <c r="Q188" s="421">
        <v>12000</v>
      </c>
      <c r="R188" s="400">
        <v>104880</v>
      </c>
      <c r="S188" s="401">
        <v>0</v>
      </c>
      <c r="T188" s="402" t="s">
        <v>519</v>
      </c>
      <c r="U188" s="403"/>
      <c r="V188" s="404">
        <f t="shared" si="26"/>
        <v>0</v>
      </c>
      <c r="W188" s="405" t="str">
        <f>IF(AND(P188&lt;[3]koment!$F$1,N188&gt;=[3]koment!$F$2),"Komentovat","")</f>
        <v/>
      </c>
      <c r="X188" s="406">
        <f t="shared" si="25"/>
        <v>16</v>
      </c>
      <c r="Y188" s="404" t="str">
        <f t="shared" si="27"/>
        <v xml:space="preserve"> </v>
      </c>
      <c r="Z188" s="407">
        <f t="shared" si="28"/>
        <v>0</v>
      </c>
      <c r="AA188" s="408" t="str">
        <f t="shared" si="29"/>
        <v>560023212889612149</v>
      </c>
      <c r="AB188" s="388"/>
      <c r="AC188" s="409">
        <f t="shared" si="22"/>
        <v>0</v>
      </c>
      <c r="AD188" s="388"/>
      <c r="AE188" s="388"/>
      <c r="AF188" s="388"/>
    </row>
    <row r="189" spans="1:32" outlineLevel="2" x14ac:dyDescent="0.2">
      <c r="A189" s="391">
        <f t="shared" si="23"/>
        <v>187</v>
      </c>
      <c r="B189" s="393">
        <v>5600</v>
      </c>
      <c r="C189" s="393" t="s">
        <v>540</v>
      </c>
      <c r="D189" s="393">
        <v>2891</v>
      </c>
      <c r="E189" s="393">
        <v>6121</v>
      </c>
      <c r="F189" s="402">
        <v>49</v>
      </c>
      <c r="G189" s="394" t="s">
        <v>603</v>
      </c>
      <c r="H189" s="393">
        <v>2012</v>
      </c>
      <c r="I189" s="423">
        <v>2017</v>
      </c>
      <c r="J189" s="420">
        <v>50996</v>
      </c>
      <c r="K189" s="420"/>
      <c r="L189" s="420">
        <v>1002</v>
      </c>
      <c r="M189" s="421">
        <v>22000</v>
      </c>
      <c r="N189" s="421">
        <f>22000+6750</f>
        <v>28750</v>
      </c>
      <c r="O189" s="420">
        <v>28718</v>
      </c>
      <c r="P189" s="399">
        <f t="shared" si="24"/>
        <v>0.99888695652173909</v>
      </c>
      <c r="Q189" s="421">
        <v>21243</v>
      </c>
      <c r="R189" s="400"/>
      <c r="S189" s="401"/>
      <c r="T189" s="402" t="s">
        <v>519</v>
      </c>
      <c r="U189" s="403"/>
      <c r="V189" s="404">
        <f t="shared" si="26"/>
        <v>1</v>
      </c>
      <c r="W189" s="405" t="str">
        <f>IF(AND(P189&lt;[3]koment!$F$1,N189&gt;=[3]koment!$F$2),"Komentovat","")</f>
        <v/>
      </c>
      <c r="X189" s="406">
        <f t="shared" si="25"/>
        <v>16</v>
      </c>
      <c r="Y189" s="404">
        <f t="shared" si="27"/>
        <v>5600</v>
      </c>
      <c r="Z189" s="407" t="str">
        <f t="shared" si="28"/>
        <v>ORG 2891 - Francouzská-rekonstrukce kanalizace a vodovodu</v>
      </c>
      <c r="AA189" s="408" t="str">
        <f t="shared" si="29"/>
        <v>560023212891612149</v>
      </c>
      <c r="AB189" s="388"/>
      <c r="AC189" s="409">
        <f t="shared" si="22"/>
        <v>1</v>
      </c>
      <c r="AD189" s="388"/>
      <c r="AE189" s="388"/>
      <c r="AF189" s="388"/>
    </row>
    <row r="190" spans="1:32" outlineLevel="2" x14ac:dyDescent="0.2">
      <c r="A190" s="391">
        <f t="shared" si="23"/>
        <v>188</v>
      </c>
      <c r="B190" s="393">
        <v>5600</v>
      </c>
      <c r="C190" s="393" t="s">
        <v>540</v>
      </c>
      <c r="D190" s="393">
        <v>2892</v>
      </c>
      <c r="E190" s="393">
        <v>6121</v>
      </c>
      <c r="F190" s="402">
        <v>49</v>
      </c>
      <c r="G190" s="394" t="s">
        <v>604</v>
      </c>
      <c r="H190" s="393">
        <v>2012</v>
      </c>
      <c r="I190" s="423">
        <v>2017</v>
      </c>
      <c r="J190" s="420">
        <v>25260</v>
      </c>
      <c r="K190" s="420"/>
      <c r="L190" s="420">
        <v>968</v>
      </c>
      <c r="M190" s="421">
        <v>24000</v>
      </c>
      <c r="N190" s="421">
        <v>3150</v>
      </c>
      <c r="O190" s="420">
        <v>3043</v>
      </c>
      <c r="P190" s="399">
        <f t="shared" si="24"/>
        <v>0.96603174603174602</v>
      </c>
      <c r="Q190" s="421">
        <v>13391</v>
      </c>
      <c r="R190" s="400"/>
      <c r="S190" s="401"/>
      <c r="T190" s="402" t="s">
        <v>519</v>
      </c>
      <c r="U190" s="403"/>
      <c r="V190" s="404">
        <f t="shared" si="26"/>
        <v>7751</v>
      </c>
      <c r="W190" s="405" t="str">
        <f>IF(AND(P190&lt;[3]koment!$F$1,N190&gt;=[3]koment!$F$2),"Komentovat","")</f>
        <v/>
      </c>
      <c r="X190" s="406">
        <f t="shared" si="25"/>
        <v>16</v>
      </c>
      <c r="Y190" s="404">
        <f t="shared" si="27"/>
        <v>5600</v>
      </c>
      <c r="Z190" s="407" t="str">
        <f t="shared" si="28"/>
        <v>ORG 2892 - Erbenova-rekonstrukce kanalizace a vodovodu</v>
      </c>
      <c r="AA190" s="408" t="str">
        <f t="shared" si="29"/>
        <v>560023212892612149</v>
      </c>
      <c r="AB190" s="388"/>
      <c r="AC190" s="409">
        <f t="shared" si="22"/>
        <v>7751</v>
      </c>
      <c r="AD190" s="388"/>
      <c r="AE190" s="388"/>
      <c r="AF190" s="388"/>
    </row>
    <row r="191" spans="1:32" outlineLevel="2" x14ac:dyDescent="0.2">
      <c r="A191" s="391">
        <f t="shared" si="23"/>
        <v>189</v>
      </c>
      <c r="B191" s="393">
        <v>5600</v>
      </c>
      <c r="C191" s="393" t="s">
        <v>540</v>
      </c>
      <c r="D191" s="393">
        <v>2894</v>
      </c>
      <c r="E191" s="393">
        <v>6121</v>
      </c>
      <c r="F191" s="402">
        <v>49</v>
      </c>
      <c r="G191" s="394" t="s">
        <v>605</v>
      </c>
      <c r="H191" s="393">
        <v>2012</v>
      </c>
      <c r="I191" s="423">
        <v>2017</v>
      </c>
      <c r="J191" s="420">
        <v>74550</v>
      </c>
      <c r="K191" s="420"/>
      <c r="L191" s="420">
        <v>1128</v>
      </c>
      <c r="M191" s="421">
        <v>11900</v>
      </c>
      <c r="N191" s="421">
        <v>11531</v>
      </c>
      <c r="O191" s="420">
        <v>11518</v>
      </c>
      <c r="P191" s="399">
        <f t="shared" si="24"/>
        <v>0.99887260428410374</v>
      </c>
      <c r="Q191" s="421">
        <v>61891</v>
      </c>
      <c r="R191" s="400"/>
      <c r="S191" s="401"/>
      <c r="T191" s="402" t="s">
        <v>519</v>
      </c>
      <c r="U191" s="403"/>
      <c r="V191" s="404">
        <f t="shared" si="26"/>
        <v>0</v>
      </c>
      <c r="W191" s="405" t="str">
        <f>IF(AND(P191&lt;[3]koment!$F$1,N191&gt;=[3]koment!$F$2),"Komentovat","")</f>
        <v/>
      </c>
      <c r="X191" s="406">
        <f t="shared" si="25"/>
        <v>16</v>
      </c>
      <c r="Y191" s="404" t="str">
        <f t="shared" si="27"/>
        <v xml:space="preserve"> </v>
      </c>
      <c r="Z191" s="407">
        <f t="shared" si="28"/>
        <v>0</v>
      </c>
      <c r="AA191" s="408" t="str">
        <f t="shared" si="29"/>
        <v>560023212894612149</v>
      </c>
      <c r="AB191" s="388"/>
      <c r="AC191" s="409">
        <f t="shared" si="22"/>
        <v>0</v>
      </c>
      <c r="AD191" s="388"/>
      <c r="AE191" s="388"/>
      <c r="AF191" s="388"/>
    </row>
    <row r="192" spans="1:32" outlineLevel="2" x14ac:dyDescent="0.2">
      <c r="A192" s="391">
        <f t="shared" si="23"/>
        <v>190</v>
      </c>
      <c r="B192" s="393">
        <v>5600</v>
      </c>
      <c r="C192" s="393" t="s">
        <v>540</v>
      </c>
      <c r="D192" s="393">
        <v>2896</v>
      </c>
      <c r="E192" s="393">
        <v>6121</v>
      </c>
      <c r="F192" s="402">
        <v>49</v>
      </c>
      <c r="G192" s="394" t="s">
        <v>606</v>
      </c>
      <c r="H192" s="393">
        <v>2012</v>
      </c>
      <c r="I192" s="423">
        <v>2017</v>
      </c>
      <c r="J192" s="420">
        <v>40625</v>
      </c>
      <c r="K192" s="420"/>
      <c r="L192" s="420">
        <v>955</v>
      </c>
      <c r="M192" s="421">
        <v>9910</v>
      </c>
      <c r="N192" s="421">
        <v>27800</v>
      </c>
      <c r="O192" s="420">
        <v>27700</v>
      </c>
      <c r="P192" s="399">
        <f t="shared" si="24"/>
        <v>0.99640287769784175</v>
      </c>
      <c r="Q192" s="421">
        <v>11869</v>
      </c>
      <c r="R192" s="400"/>
      <c r="S192" s="401"/>
      <c r="T192" s="402" t="s">
        <v>519</v>
      </c>
      <c r="U192" s="403"/>
      <c r="V192" s="404">
        <f t="shared" si="26"/>
        <v>1</v>
      </c>
      <c r="W192" s="405" t="str">
        <f>IF(AND(P192&lt;[3]koment!$F$1,N192&gt;=[3]koment!$F$2),"Komentovat","")</f>
        <v/>
      </c>
      <c r="X192" s="406">
        <f t="shared" si="25"/>
        <v>16</v>
      </c>
      <c r="Y192" s="404">
        <f t="shared" si="27"/>
        <v>5600</v>
      </c>
      <c r="Z192" s="407" t="str">
        <f t="shared" si="28"/>
        <v>ORG 2896 - Cupákova-rekonstrukce kanalizace a vodovodu</v>
      </c>
      <c r="AA192" s="408" t="str">
        <f t="shared" si="29"/>
        <v>560023212896612149</v>
      </c>
      <c r="AB192" s="388"/>
      <c r="AC192" s="409">
        <f t="shared" si="22"/>
        <v>1</v>
      </c>
      <c r="AD192" s="388"/>
      <c r="AE192" s="388"/>
      <c r="AF192" s="388"/>
    </row>
    <row r="193" spans="1:32" outlineLevel="2" x14ac:dyDescent="0.2">
      <c r="A193" s="391">
        <f t="shared" si="23"/>
        <v>191</v>
      </c>
      <c r="B193" s="393">
        <v>5600</v>
      </c>
      <c r="C193" s="393" t="s">
        <v>540</v>
      </c>
      <c r="D193" s="393">
        <v>2897</v>
      </c>
      <c r="E193" s="393">
        <v>6121</v>
      </c>
      <c r="F193" s="402">
        <v>49</v>
      </c>
      <c r="G193" s="394" t="s">
        <v>607</v>
      </c>
      <c r="H193" s="393">
        <v>2012</v>
      </c>
      <c r="I193" s="423">
        <v>2018</v>
      </c>
      <c r="J193" s="420">
        <v>10500</v>
      </c>
      <c r="K193" s="420"/>
      <c r="L193" s="420">
        <v>767</v>
      </c>
      <c r="M193" s="421">
        <v>9733</v>
      </c>
      <c r="N193" s="421">
        <v>0</v>
      </c>
      <c r="O193" s="420"/>
      <c r="P193" s="399" t="str">
        <f t="shared" si="24"/>
        <v xml:space="preserve"> </v>
      </c>
      <c r="Q193" s="421">
        <v>100</v>
      </c>
      <c r="R193" s="400">
        <v>9633</v>
      </c>
      <c r="S193" s="401"/>
      <c r="T193" s="402" t="s">
        <v>519</v>
      </c>
      <c r="U193" s="403"/>
      <c r="V193" s="404">
        <f t="shared" si="26"/>
        <v>0</v>
      </c>
      <c r="W193" s="405" t="str">
        <f>IF(AND(P193&lt;[3]koment!$F$1,N193&gt;=[3]koment!$F$2),"Komentovat","")</f>
        <v/>
      </c>
      <c r="X193" s="406">
        <f t="shared" si="25"/>
        <v>16</v>
      </c>
      <c r="Y193" s="404" t="str">
        <f t="shared" si="27"/>
        <v xml:space="preserve"> </v>
      </c>
      <c r="Z193" s="407">
        <f t="shared" si="28"/>
        <v>0</v>
      </c>
      <c r="AA193" s="408" t="str">
        <f t="shared" si="29"/>
        <v>560023212897612149</v>
      </c>
      <c r="AB193" s="388"/>
      <c r="AC193" s="409">
        <f t="shared" si="22"/>
        <v>0</v>
      </c>
      <c r="AD193" s="388"/>
      <c r="AE193" s="388"/>
      <c r="AF193" s="388"/>
    </row>
    <row r="194" spans="1:32" outlineLevel="2" x14ac:dyDescent="0.2">
      <c r="A194" s="391">
        <f t="shared" si="23"/>
        <v>192</v>
      </c>
      <c r="B194" s="422" t="s">
        <v>420</v>
      </c>
      <c r="C194" s="393" t="s">
        <v>540</v>
      </c>
      <c r="D194" s="393">
        <v>2910</v>
      </c>
      <c r="E194" s="393">
        <v>6121</v>
      </c>
      <c r="F194" s="402">
        <v>49</v>
      </c>
      <c r="G194" s="394" t="s">
        <v>608</v>
      </c>
      <c r="H194" s="393">
        <v>2012</v>
      </c>
      <c r="I194" s="423">
        <v>2017</v>
      </c>
      <c r="J194" s="420">
        <v>49940</v>
      </c>
      <c r="K194" s="420"/>
      <c r="L194" s="420">
        <v>947</v>
      </c>
      <c r="M194" s="421">
        <v>34764</v>
      </c>
      <c r="N194" s="421">
        <v>27860</v>
      </c>
      <c r="O194" s="420">
        <v>27849</v>
      </c>
      <c r="P194" s="399">
        <f t="shared" si="24"/>
        <v>0.99960516870064609</v>
      </c>
      <c r="Q194" s="421">
        <v>21131</v>
      </c>
      <c r="R194" s="400"/>
      <c r="S194" s="401"/>
      <c r="T194" s="402" t="s">
        <v>519</v>
      </c>
      <c r="U194" s="403"/>
      <c r="V194" s="404">
        <f t="shared" si="26"/>
        <v>2</v>
      </c>
      <c r="W194" s="405" t="str">
        <f>IF(AND(P194&lt;[3]koment!$F$1,N194&gt;=[3]koment!$F$2),"Komentovat","")</f>
        <v/>
      </c>
      <c r="X194" s="406">
        <f t="shared" si="25"/>
        <v>16</v>
      </c>
      <c r="Y194" s="404">
        <f t="shared" si="27"/>
        <v>5600</v>
      </c>
      <c r="Z194" s="407" t="str">
        <f t="shared" si="28"/>
        <v>ORG 2910 - Lerchova I,Roubalova I, Kampelíkova I - rek.kan. a vod.</v>
      </c>
      <c r="AA194" s="408" t="str">
        <f t="shared" si="29"/>
        <v>560023212910612149</v>
      </c>
      <c r="AB194" s="388"/>
      <c r="AC194" s="409">
        <f t="shared" ref="AC194:AC262" si="30">IF(LEN(D194)=4,(J194-L194-N194-Q194-R194-S194),0)</f>
        <v>2</v>
      </c>
      <c r="AD194" s="388"/>
      <c r="AE194" s="388"/>
      <c r="AF194" s="388"/>
    </row>
    <row r="195" spans="1:32" outlineLevel="2" x14ac:dyDescent="0.2">
      <c r="A195" s="391">
        <f t="shared" si="23"/>
        <v>193</v>
      </c>
      <c r="B195" s="419">
        <v>5600</v>
      </c>
      <c r="C195" s="393" t="s">
        <v>540</v>
      </c>
      <c r="D195" s="393">
        <v>2927</v>
      </c>
      <c r="E195" s="393">
        <v>6121</v>
      </c>
      <c r="F195" s="402">
        <v>49</v>
      </c>
      <c r="G195" s="394" t="s">
        <v>609</v>
      </c>
      <c r="H195" s="393">
        <v>2011</v>
      </c>
      <c r="I195" s="393">
        <v>2016</v>
      </c>
      <c r="J195" s="420">
        <v>61900</v>
      </c>
      <c r="K195" s="420"/>
      <c r="L195" s="420">
        <v>10164</v>
      </c>
      <c r="M195" s="421">
        <v>51527</v>
      </c>
      <c r="N195" s="421">
        <f>51527+208</f>
        <v>51735</v>
      </c>
      <c r="O195" s="420">
        <v>51530</v>
      </c>
      <c r="P195" s="399">
        <f t="shared" si="24"/>
        <v>0.99603749879192038</v>
      </c>
      <c r="Q195" s="421"/>
      <c r="R195" s="400"/>
      <c r="S195" s="401"/>
      <c r="T195" s="402" t="s">
        <v>519</v>
      </c>
      <c r="U195" s="403"/>
      <c r="V195" s="404">
        <f t="shared" si="26"/>
        <v>1</v>
      </c>
      <c r="W195" s="405" t="str">
        <f>IF(AND(P195&lt;[3]koment!$F$1,N195&gt;=[3]koment!$F$2),"Komentovat","")</f>
        <v/>
      </c>
      <c r="X195" s="406">
        <f t="shared" si="25"/>
        <v>16</v>
      </c>
      <c r="Y195" s="404">
        <f t="shared" si="27"/>
        <v>5600</v>
      </c>
      <c r="Z195" s="407" t="str">
        <f t="shared" si="28"/>
        <v>ORG 2927 - Staňkova I, Skřivanova II - rek. kan. a vod.</v>
      </c>
      <c r="AA195" s="408" t="str">
        <f t="shared" si="29"/>
        <v>560023212927612149</v>
      </c>
      <c r="AB195" s="388"/>
      <c r="AC195" s="409">
        <f t="shared" si="30"/>
        <v>1</v>
      </c>
      <c r="AD195" s="388"/>
      <c r="AE195" s="388"/>
      <c r="AF195" s="388"/>
    </row>
    <row r="196" spans="1:32" outlineLevel="2" x14ac:dyDescent="0.2">
      <c r="A196" s="391">
        <f t="shared" ref="A196:A259" si="31">ROW()-2</f>
        <v>194</v>
      </c>
      <c r="B196" s="419">
        <v>5600</v>
      </c>
      <c r="C196" s="393" t="s">
        <v>540</v>
      </c>
      <c r="D196" s="393">
        <v>2928</v>
      </c>
      <c r="E196" s="393">
        <v>6121</v>
      </c>
      <c r="F196" s="402">
        <v>49</v>
      </c>
      <c r="G196" s="394" t="s">
        <v>610</v>
      </c>
      <c r="H196" s="393">
        <v>2011</v>
      </c>
      <c r="I196" s="393">
        <v>2021</v>
      </c>
      <c r="J196" s="420">
        <v>81534</v>
      </c>
      <c r="K196" s="420"/>
      <c r="L196" s="420">
        <v>0</v>
      </c>
      <c r="M196" s="421">
        <v>1500</v>
      </c>
      <c r="N196" s="421">
        <v>0</v>
      </c>
      <c r="O196" s="420"/>
      <c r="P196" s="399" t="str">
        <f t="shared" ref="P196:P259" si="32">IF(N196&lt;=0," ",O196/N196)</f>
        <v xml:space="preserve"> </v>
      </c>
      <c r="Q196" s="421">
        <v>1100</v>
      </c>
      <c r="R196" s="400">
        <v>50</v>
      </c>
      <c r="S196" s="401">
        <v>80384</v>
      </c>
      <c r="T196" s="402" t="s">
        <v>519</v>
      </c>
      <c r="U196" s="403"/>
      <c r="V196" s="404">
        <f t="shared" si="26"/>
        <v>0</v>
      </c>
      <c r="W196" s="405" t="str">
        <f>IF(AND(P196&lt;[3]koment!$F$1,N196&gt;=[3]koment!$F$2),"Komentovat","")</f>
        <v/>
      </c>
      <c r="X196" s="406">
        <f t="shared" si="25"/>
        <v>16</v>
      </c>
      <c r="Y196" s="404" t="str">
        <f t="shared" si="27"/>
        <v xml:space="preserve"> </v>
      </c>
      <c r="Z196" s="407">
        <f t="shared" si="28"/>
        <v>0</v>
      </c>
      <c r="AA196" s="408" t="str">
        <f t="shared" si="29"/>
        <v>560023212928612149</v>
      </c>
      <c r="AB196" s="388"/>
      <c r="AC196" s="409">
        <f t="shared" si="30"/>
        <v>0</v>
      </c>
      <c r="AD196" s="388"/>
      <c r="AE196" s="388"/>
      <c r="AF196" s="388"/>
    </row>
    <row r="197" spans="1:32" outlineLevel="2" x14ac:dyDescent="0.2">
      <c r="A197" s="391">
        <f t="shared" si="31"/>
        <v>195</v>
      </c>
      <c r="B197" s="419">
        <v>5600</v>
      </c>
      <c r="C197" s="393" t="s">
        <v>540</v>
      </c>
      <c r="D197" s="393">
        <v>2929</v>
      </c>
      <c r="E197" s="393">
        <v>6121</v>
      </c>
      <c r="F197" s="402">
        <v>49</v>
      </c>
      <c r="G197" s="394" t="s">
        <v>611</v>
      </c>
      <c r="H197" s="393">
        <v>2011</v>
      </c>
      <c r="I197" s="393">
        <v>2018</v>
      </c>
      <c r="J197" s="420">
        <v>70975</v>
      </c>
      <c r="K197" s="420"/>
      <c r="L197" s="420">
        <v>1834</v>
      </c>
      <c r="M197" s="421">
        <v>6000</v>
      </c>
      <c r="N197" s="421">
        <v>10</v>
      </c>
      <c r="O197" s="420">
        <v>1</v>
      </c>
      <c r="P197" s="399">
        <f t="shared" si="32"/>
        <v>0.1</v>
      </c>
      <c r="Q197" s="421">
        <v>16770</v>
      </c>
      <c r="R197" s="400">
        <v>52361</v>
      </c>
      <c r="S197" s="401"/>
      <c r="T197" s="402" t="s">
        <v>519</v>
      </c>
      <c r="U197" s="403"/>
      <c r="V197" s="404">
        <f t="shared" si="26"/>
        <v>0</v>
      </c>
      <c r="W197" s="405" t="str">
        <f>IF(AND(P197&lt;[3]koment!$F$1,N197&gt;=[3]koment!$F$2),"Komentovat","")</f>
        <v/>
      </c>
      <c r="X197" s="406">
        <f t="shared" si="25"/>
        <v>16</v>
      </c>
      <c r="Y197" s="404" t="str">
        <f t="shared" si="27"/>
        <v xml:space="preserve"> </v>
      </c>
      <c r="Z197" s="407">
        <f t="shared" si="28"/>
        <v>0</v>
      </c>
      <c r="AA197" s="408" t="str">
        <f t="shared" si="29"/>
        <v>560023212929612149</v>
      </c>
      <c r="AB197" s="388"/>
      <c r="AC197" s="409">
        <f t="shared" si="30"/>
        <v>0</v>
      </c>
      <c r="AD197" s="388"/>
      <c r="AE197" s="388"/>
      <c r="AF197" s="388"/>
    </row>
    <row r="198" spans="1:32" outlineLevel="2" x14ac:dyDescent="0.2">
      <c r="A198" s="391">
        <f t="shared" si="31"/>
        <v>196</v>
      </c>
      <c r="B198" s="392" t="s">
        <v>420</v>
      </c>
      <c r="C198" s="393" t="s">
        <v>540</v>
      </c>
      <c r="D198" s="394">
        <v>2951</v>
      </c>
      <c r="E198" s="393">
        <v>6121</v>
      </c>
      <c r="F198" s="395">
        <v>49</v>
      </c>
      <c r="G198" s="394" t="s">
        <v>612</v>
      </c>
      <c r="H198" s="394">
        <v>2011</v>
      </c>
      <c r="I198" s="394">
        <v>2020</v>
      </c>
      <c r="J198" s="396">
        <v>48002</v>
      </c>
      <c r="K198" s="396"/>
      <c r="L198" s="397"/>
      <c r="M198" s="398">
        <v>2000</v>
      </c>
      <c r="N198" s="398">
        <f>2000-2000</f>
        <v>0</v>
      </c>
      <c r="O198" s="396"/>
      <c r="P198" s="399" t="str">
        <f t="shared" si="32"/>
        <v xml:space="preserve"> </v>
      </c>
      <c r="Q198" s="398">
        <v>1000</v>
      </c>
      <c r="R198" s="400">
        <v>100</v>
      </c>
      <c r="S198" s="401">
        <v>46902</v>
      </c>
      <c r="T198" s="402" t="s">
        <v>519</v>
      </c>
      <c r="U198" s="403"/>
      <c r="V198" s="404">
        <f t="shared" si="26"/>
        <v>0</v>
      </c>
      <c r="W198" s="405" t="str">
        <f>IF(AND(P198&lt;[3]koment!$F$1,N198&gt;=[3]koment!$F$2),"Komentovat","")</f>
        <v/>
      </c>
      <c r="X198" s="406">
        <f t="shared" ref="X198:X258" si="33">IF(W198="Komentovat",X197+1,X197)</f>
        <v>16</v>
      </c>
      <c r="Y198" s="404" t="str">
        <f t="shared" si="27"/>
        <v xml:space="preserve"> </v>
      </c>
      <c r="Z198" s="407">
        <f t="shared" si="28"/>
        <v>0</v>
      </c>
      <c r="AA198" s="408" t="str">
        <f t="shared" si="29"/>
        <v>560023212951612149</v>
      </c>
      <c r="AB198" s="388"/>
      <c r="AC198" s="409">
        <f t="shared" si="30"/>
        <v>0</v>
      </c>
      <c r="AD198" s="388"/>
      <c r="AE198" s="388"/>
      <c r="AF198" s="388"/>
    </row>
    <row r="199" spans="1:32" outlineLevel="2" x14ac:dyDescent="0.2">
      <c r="A199" s="391">
        <f t="shared" si="31"/>
        <v>197</v>
      </c>
      <c r="B199" s="419">
        <v>5600</v>
      </c>
      <c r="C199" s="393" t="s">
        <v>540</v>
      </c>
      <c r="D199" s="393">
        <v>2952</v>
      </c>
      <c r="E199" s="393">
        <v>6121</v>
      </c>
      <c r="F199" s="402">
        <v>49</v>
      </c>
      <c r="G199" s="394" t="s">
        <v>613</v>
      </c>
      <c r="H199" s="393">
        <v>2011</v>
      </c>
      <c r="I199" s="393">
        <v>2017</v>
      </c>
      <c r="J199" s="420">
        <v>72087</v>
      </c>
      <c r="K199" s="420"/>
      <c r="L199" s="420">
        <v>17239</v>
      </c>
      <c r="M199" s="421">
        <v>38833</v>
      </c>
      <c r="N199" s="421">
        <v>50860</v>
      </c>
      <c r="O199" s="420">
        <v>50860</v>
      </c>
      <c r="P199" s="399">
        <f t="shared" si="32"/>
        <v>1</v>
      </c>
      <c r="Q199" s="421">
        <v>10888</v>
      </c>
      <c r="R199" s="400"/>
      <c r="S199" s="401"/>
      <c r="T199" s="402" t="s">
        <v>519</v>
      </c>
      <c r="U199" s="403"/>
      <c r="V199" s="404">
        <f t="shared" si="26"/>
        <v>-6900</v>
      </c>
      <c r="W199" s="405" t="str">
        <f>IF(AND(P199&lt;[3]koment!$F$1,N199&gt;=[3]koment!$F$2),"Komentovat","")</f>
        <v/>
      </c>
      <c r="X199" s="406">
        <f t="shared" si="33"/>
        <v>16</v>
      </c>
      <c r="Y199" s="404">
        <f t="shared" si="27"/>
        <v>5600</v>
      </c>
      <c r="Z199" s="407" t="str">
        <f t="shared" si="28"/>
        <v>ORG 2952 - Vackova - rekonstrukce kanalizace a vodovodu</v>
      </c>
      <c r="AA199" s="408" t="str">
        <f t="shared" si="29"/>
        <v>560023212952612149</v>
      </c>
      <c r="AB199" s="388"/>
      <c r="AC199" s="409">
        <f t="shared" si="30"/>
        <v>-6900</v>
      </c>
      <c r="AD199" s="388"/>
      <c r="AE199" s="388"/>
      <c r="AF199" s="388"/>
    </row>
    <row r="200" spans="1:32" outlineLevel="2" x14ac:dyDescent="0.2">
      <c r="A200" s="391">
        <f t="shared" si="31"/>
        <v>198</v>
      </c>
      <c r="B200" s="422" t="s">
        <v>420</v>
      </c>
      <c r="C200" s="393" t="s">
        <v>540</v>
      </c>
      <c r="D200" s="393">
        <v>2970</v>
      </c>
      <c r="E200" s="393">
        <v>6121</v>
      </c>
      <c r="F200" s="402">
        <v>49</v>
      </c>
      <c r="G200" s="394" t="s">
        <v>614</v>
      </c>
      <c r="H200" s="423">
        <v>2010</v>
      </c>
      <c r="I200" s="393">
        <v>2017</v>
      </c>
      <c r="J200" s="420">
        <v>10585</v>
      </c>
      <c r="K200" s="420"/>
      <c r="L200" s="420">
        <v>1600</v>
      </c>
      <c r="M200" s="421">
        <v>8919</v>
      </c>
      <c r="N200" s="421">
        <f>8919+14</f>
        <v>8933</v>
      </c>
      <c r="O200" s="420">
        <v>8525</v>
      </c>
      <c r="P200" s="399">
        <f t="shared" si="32"/>
        <v>0.95432665397962613</v>
      </c>
      <c r="Q200" s="421">
        <v>50</v>
      </c>
      <c r="R200" s="400"/>
      <c r="S200" s="401"/>
      <c r="T200" s="402" t="s">
        <v>519</v>
      </c>
      <c r="U200" s="403"/>
      <c r="V200" s="404">
        <f t="shared" si="26"/>
        <v>2</v>
      </c>
      <c r="W200" s="405" t="str">
        <f>IF(AND(P200&lt;[3]koment!$F$1,N200&gt;=[3]koment!$F$2),"Komentovat","")</f>
        <v/>
      </c>
      <c r="X200" s="406">
        <f t="shared" si="33"/>
        <v>16</v>
      </c>
      <c r="Y200" s="404">
        <f t="shared" si="27"/>
        <v>5600</v>
      </c>
      <c r="Z200" s="407" t="str">
        <f t="shared" si="28"/>
        <v>ORG 2970 - Šafaříkova - rekonstrukce kanalizace</v>
      </c>
      <c r="AA200" s="408" t="str">
        <f t="shared" si="29"/>
        <v>560023212970612149</v>
      </c>
      <c r="AB200" s="388"/>
      <c r="AC200" s="409">
        <f t="shared" si="30"/>
        <v>2</v>
      </c>
      <c r="AD200" s="388"/>
      <c r="AE200" s="388"/>
      <c r="AF200" s="388"/>
    </row>
    <row r="201" spans="1:32" outlineLevel="2" x14ac:dyDescent="0.2">
      <c r="A201" s="391">
        <f t="shared" si="31"/>
        <v>199</v>
      </c>
      <c r="B201" s="422" t="s">
        <v>420</v>
      </c>
      <c r="C201" s="393" t="s">
        <v>540</v>
      </c>
      <c r="D201" s="393">
        <v>2972</v>
      </c>
      <c r="E201" s="393">
        <v>6121</v>
      </c>
      <c r="F201" s="402">
        <v>49</v>
      </c>
      <c r="G201" s="394" t="s">
        <v>615</v>
      </c>
      <c r="H201" s="423">
        <v>2010</v>
      </c>
      <c r="I201" s="393">
        <v>2021</v>
      </c>
      <c r="J201" s="420">
        <v>78559</v>
      </c>
      <c r="K201" s="420"/>
      <c r="L201" s="420">
        <v>2296</v>
      </c>
      <c r="M201" s="421">
        <v>100</v>
      </c>
      <c r="N201" s="421">
        <v>100</v>
      </c>
      <c r="O201" s="420">
        <v>0</v>
      </c>
      <c r="P201" s="399">
        <f t="shared" si="32"/>
        <v>0</v>
      </c>
      <c r="Q201" s="421">
        <v>50</v>
      </c>
      <c r="R201" s="400">
        <v>50</v>
      </c>
      <c r="S201" s="401">
        <v>76063</v>
      </c>
      <c r="T201" s="402" t="s">
        <v>519</v>
      </c>
      <c r="U201" s="403"/>
      <c r="V201" s="404">
        <f t="shared" si="26"/>
        <v>0</v>
      </c>
      <c r="W201" s="405" t="str">
        <f>IF(AND(P201&lt;[3]koment!$F$1,N201&gt;=[3]koment!$F$2),"Komentovat","")</f>
        <v/>
      </c>
      <c r="X201" s="406">
        <f t="shared" si="33"/>
        <v>16</v>
      </c>
      <c r="Y201" s="404" t="str">
        <f t="shared" si="27"/>
        <v xml:space="preserve"> </v>
      </c>
      <c r="Z201" s="407">
        <f t="shared" si="28"/>
        <v>0</v>
      </c>
      <c r="AA201" s="408" t="str">
        <f t="shared" si="29"/>
        <v>560023212972612149</v>
      </c>
      <c r="AB201" s="388"/>
      <c r="AC201" s="409">
        <f t="shared" si="30"/>
        <v>0</v>
      </c>
      <c r="AD201" s="388"/>
      <c r="AE201" s="388"/>
      <c r="AF201" s="388"/>
    </row>
    <row r="202" spans="1:32" outlineLevel="2" x14ac:dyDescent="0.2">
      <c r="A202" s="391">
        <f t="shared" si="31"/>
        <v>200</v>
      </c>
      <c r="B202" s="422" t="s">
        <v>420</v>
      </c>
      <c r="C202" s="393" t="s">
        <v>540</v>
      </c>
      <c r="D202" s="393">
        <v>2984</v>
      </c>
      <c r="E202" s="393">
        <v>6121</v>
      </c>
      <c r="F202" s="402">
        <v>49</v>
      </c>
      <c r="G202" s="394" t="s">
        <v>616</v>
      </c>
      <c r="H202" s="423">
        <v>2010</v>
      </c>
      <c r="I202" s="393">
        <v>2018</v>
      </c>
      <c r="J202" s="420">
        <v>38355</v>
      </c>
      <c r="K202" s="420"/>
      <c r="L202" s="420">
        <v>1831</v>
      </c>
      <c r="M202" s="421">
        <v>10800</v>
      </c>
      <c r="N202" s="421">
        <v>140</v>
      </c>
      <c r="O202" s="420">
        <v>132</v>
      </c>
      <c r="P202" s="399">
        <f t="shared" si="32"/>
        <v>0.94285714285714284</v>
      </c>
      <c r="Q202" s="421">
        <v>36100</v>
      </c>
      <c r="R202" s="400">
        <v>284</v>
      </c>
      <c r="S202" s="401"/>
      <c r="T202" s="402" t="s">
        <v>519</v>
      </c>
      <c r="U202" s="403"/>
      <c r="V202" s="404">
        <f t="shared" si="26"/>
        <v>0</v>
      </c>
      <c r="W202" s="405" t="str">
        <f>IF(AND(P202&lt;[3]koment!$F$1,N202&gt;=[3]koment!$F$2),"Komentovat","")</f>
        <v/>
      </c>
      <c r="X202" s="406">
        <f t="shared" si="33"/>
        <v>16</v>
      </c>
      <c r="Y202" s="404" t="str">
        <f t="shared" si="27"/>
        <v xml:space="preserve"> </v>
      </c>
      <c r="Z202" s="407">
        <f t="shared" si="28"/>
        <v>0</v>
      </c>
      <c r="AA202" s="408" t="str">
        <f t="shared" si="29"/>
        <v>560023212984612149</v>
      </c>
      <c r="AB202" s="388"/>
      <c r="AC202" s="409">
        <f t="shared" si="30"/>
        <v>0</v>
      </c>
      <c r="AD202" s="388"/>
      <c r="AE202" s="388"/>
      <c r="AF202" s="388"/>
    </row>
    <row r="203" spans="1:32" outlineLevel="2" x14ac:dyDescent="0.2">
      <c r="A203" s="391">
        <f t="shared" si="31"/>
        <v>201</v>
      </c>
      <c r="B203" s="422" t="s">
        <v>420</v>
      </c>
      <c r="C203" s="393" t="s">
        <v>540</v>
      </c>
      <c r="D203" s="393">
        <v>2989</v>
      </c>
      <c r="E203" s="393">
        <v>6121</v>
      </c>
      <c r="F203" s="402">
        <v>49</v>
      </c>
      <c r="G203" s="394" t="s">
        <v>617</v>
      </c>
      <c r="H203" s="423">
        <v>2010</v>
      </c>
      <c r="I203" s="393">
        <v>2019</v>
      </c>
      <c r="J203" s="420">
        <v>13566</v>
      </c>
      <c r="K203" s="420"/>
      <c r="L203" s="420">
        <v>9166</v>
      </c>
      <c r="M203" s="421">
        <v>3800</v>
      </c>
      <c r="N203" s="421">
        <v>3800</v>
      </c>
      <c r="O203" s="420">
        <v>3740</v>
      </c>
      <c r="P203" s="399">
        <f t="shared" si="32"/>
        <v>0.98421052631578942</v>
      </c>
      <c r="Q203" s="421">
        <v>200</v>
      </c>
      <c r="R203" s="400">
        <v>200</v>
      </c>
      <c r="S203" s="401">
        <v>200</v>
      </c>
      <c r="T203" s="402" t="s">
        <v>519</v>
      </c>
      <c r="U203" s="403"/>
      <c r="V203" s="404">
        <f t="shared" ref="V203:V275" si="34">IF(LEN($D203)=4,(J203-L203-N203-Q203-R203-S203),0)</f>
        <v>0</v>
      </c>
      <c r="W203" s="405" t="str">
        <f>IF(AND(P203&lt;[3]koment!$F$1,N203&gt;=[3]koment!$F$2),"Komentovat","")</f>
        <v/>
      </c>
      <c r="X203" s="406">
        <f t="shared" si="33"/>
        <v>16</v>
      </c>
      <c r="Y203" s="404" t="str">
        <f t="shared" ref="Y203:Y275" si="35">IF($V203=0," ",IF(LEN($B203)=4,$B203*1,$B203))</f>
        <v xml:space="preserve"> </v>
      </c>
      <c r="Z203" s="407">
        <f t="shared" ref="Z203:Z275" si="36">IF($Y203=" ",0,"ORG "&amp;$D203&amp;" - "&amp;$G203)</f>
        <v>0</v>
      </c>
      <c r="AA203" s="408" t="str">
        <f t="shared" ref="AA203:AA275" si="37">$B203&amp;LEFT($C203,4)&amp;$D203&amp;$E203&amp;$F203</f>
        <v>560023212989612149</v>
      </c>
      <c r="AB203" s="388"/>
      <c r="AC203" s="409">
        <f t="shared" si="30"/>
        <v>0</v>
      </c>
      <c r="AD203" s="388"/>
      <c r="AE203" s="388"/>
      <c r="AF203" s="388"/>
    </row>
    <row r="204" spans="1:32" outlineLevel="2" x14ac:dyDescent="0.2">
      <c r="A204" s="391">
        <f t="shared" si="31"/>
        <v>202</v>
      </c>
      <c r="B204" s="422" t="s">
        <v>420</v>
      </c>
      <c r="C204" s="393" t="s">
        <v>540</v>
      </c>
      <c r="D204" s="393">
        <v>3023</v>
      </c>
      <c r="E204" s="393">
        <v>6121</v>
      </c>
      <c r="F204" s="402">
        <v>49</v>
      </c>
      <c r="G204" s="394" t="s">
        <v>618</v>
      </c>
      <c r="H204" s="423">
        <v>2010</v>
      </c>
      <c r="I204" s="393">
        <v>2016</v>
      </c>
      <c r="J204" s="420">
        <v>16203</v>
      </c>
      <c r="K204" s="420"/>
      <c r="L204" s="420">
        <v>1612</v>
      </c>
      <c r="M204" s="421">
        <v>13739</v>
      </c>
      <c r="N204" s="421">
        <f>13739+852</f>
        <v>14591</v>
      </c>
      <c r="O204" s="420">
        <v>14054</v>
      </c>
      <c r="P204" s="399">
        <f t="shared" si="32"/>
        <v>0.96319649098759508</v>
      </c>
      <c r="Q204" s="421"/>
      <c r="R204" s="400"/>
      <c r="S204" s="401"/>
      <c r="T204" s="402" t="s">
        <v>519</v>
      </c>
      <c r="U204" s="403"/>
      <c r="V204" s="404">
        <f t="shared" si="34"/>
        <v>0</v>
      </c>
      <c r="W204" s="405" t="str">
        <f>IF(AND(P204&lt;[3]koment!$F$1,N204&gt;=[3]koment!$F$2),"Komentovat","")</f>
        <v/>
      </c>
      <c r="X204" s="406">
        <f t="shared" si="33"/>
        <v>16</v>
      </c>
      <c r="Y204" s="404" t="str">
        <f t="shared" si="35"/>
        <v xml:space="preserve"> </v>
      </c>
      <c r="Z204" s="407">
        <f t="shared" si="36"/>
        <v>0</v>
      </c>
      <c r="AA204" s="408" t="str">
        <f t="shared" si="37"/>
        <v>560023213023612149</v>
      </c>
      <c r="AB204" s="388"/>
      <c r="AC204" s="409">
        <f t="shared" si="30"/>
        <v>0</v>
      </c>
      <c r="AD204" s="388"/>
      <c r="AE204" s="388"/>
      <c r="AF204" s="388"/>
    </row>
    <row r="205" spans="1:32" outlineLevel="2" x14ac:dyDescent="0.2">
      <c r="A205" s="391">
        <f t="shared" si="31"/>
        <v>203</v>
      </c>
      <c r="B205" s="422" t="s">
        <v>420</v>
      </c>
      <c r="C205" s="393" t="s">
        <v>540</v>
      </c>
      <c r="D205" s="393">
        <v>3024</v>
      </c>
      <c r="E205" s="393">
        <v>6121</v>
      </c>
      <c r="F205" s="402">
        <v>49</v>
      </c>
      <c r="G205" s="394" t="s">
        <v>619</v>
      </c>
      <c r="H205" s="423">
        <v>2010</v>
      </c>
      <c r="I205" s="393">
        <v>2016</v>
      </c>
      <c r="J205" s="420">
        <v>40063</v>
      </c>
      <c r="K205" s="420"/>
      <c r="L205" s="420">
        <v>31913</v>
      </c>
      <c r="M205" s="421">
        <v>7316</v>
      </c>
      <c r="N205" s="421">
        <f>7316+834</f>
        <v>8150</v>
      </c>
      <c r="O205" s="420">
        <v>7318</v>
      </c>
      <c r="P205" s="399">
        <f t="shared" si="32"/>
        <v>0.8979141104294478</v>
      </c>
      <c r="Q205" s="421"/>
      <c r="R205" s="400"/>
      <c r="S205" s="401"/>
      <c r="T205" s="402" t="s">
        <v>519</v>
      </c>
      <c r="U205" s="403"/>
      <c r="V205" s="404">
        <f t="shared" si="34"/>
        <v>0</v>
      </c>
      <c r="W205" s="405" t="str">
        <f>IF(AND(P205&lt;[3]koment!$F$1,N205&gt;=[3]koment!$F$2),"Komentovat","")</f>
        <v/>
      </c>
      <c r="X205" s="406">
        <f t="shared" si="33"/>
        <v>16</v>
      </c>
      <c r="Y205" s="404" t="str">
        <f t="shared" si="35"/>
        <v xml:space="preserve"> </v>
      </c>
      <c r="Z205" s="407">
        <f t="shared" si="36"/>
        <v>0</v>
      </c>
      <c r="AA205" s="408" t="str">
        <f t="shared" si="37"/>
        <v>560023213024612149</v>
      </c>
      <c r="AB205" s="388"/>
      <c r="AC205" s="409">
        <f t="shared" si="30"/>
        <v>0</v>
      </c>
      <c r="AD205" s="388"/>
      <c r="AE205" s="388"/>
      <c r="AF205" s="388"/>
    </row>
    <row r="206" spans="1:32" outlineLevel="2" x14ac:dyDescent="0.2">
      <c r="A206" s="391">
        <f t="shared" si="31"/>
        <v>204</v>
      </c>
      <c r="B206" s="422" t="s">
        <v>420</v>
      </c>
      <c r="C206" s="393" t="s">
        <v>540</v>
      </c>
      <c r="D206" s="393">
        <v>3043</v>
      </c>
      <c r="E206" s="393">
        <v>6121</v>
      </c>
      <c r="F206" s="402">
        <v>49</v>
      </c>
      <c r="G206" s="394" t="s">
        <v>620</v>
      </c>
      <c r="H206" s="423">
        <v>2009</v>
      </c>
      <c r="I206" s="393">
        <v>2021</v>
      </c>
      <c r="J206" s="420">
        <v>158000</v>
      </c>
      <c r="K206" s="420"/>
      <c r="L206" s="420">
        <v>0</v>
      </c>
      <c r="M206" s="421">
        <v>7200</v>
      </c>
      <c r="N206" s="421">
        <f>7200-7200</f>
        <v>0</v>
      </c>
      <c r="O206" s="420"/>
      <c r="P206" s="399" t="str">
        <f t="shared" si="32"/>
        <v xml:space="preserve"> </v>
      </c>
      <c r="Q206" s="421">
        <v>4200</v>
      </c>
      <c r="R206" s="400">
        <v>500</v>
      </c>
      <c r="S206" s="401">
        <v>153300</v>
      </c>
      <c r="T206" s="402" t="s">
        <v>519</v>
      </c>
      <c r="U206" s="403"/>
      <c r="V206" s="404">
        <f t="shared" si="34"/>
        <v>0</v>
      </c>
      <c r="W206" s="405" t="str">
        <f>IF(AND(P206&lt;[3]koment!$F$1,N206&gt;=[3]koment!$F$2),"Komentovat","")</f>
        <v/>
      </c>
      <c r="X206" s="406">
        <f t="shared" si="33"/>
        <v>16</v>
      </c>
      <c r="Y206" s="404" t="str">
        <f t="shared" si="35"/>
        <v xml:space="preserve"> </v>
      </c>
      <c r="Z206" s="407">
        <f t="shared" si="36"/>
        <v>0</v>
      </c>
      <c r="AA206" s="408" t="str">
        <f t="shared" si="37"/>
        <v>560023213043612149</v>
      </c>
      <c r="AB206" s="388"/>
      <c r="AC206" s="409">
        <f t="shared" si="30"/>
        <v>0</v>
      </c>
      <c r="AD206" s="388"/>
      <c r="AE206" s="388"/>
      <c r="AF206" s="388"/>
    </row>
    <row r="207" spans="1:32" outlineLevel="2" x14ac:dyDescent="0.2">
      <c r="A207" s="391">
        <f t="shared" si="31"/>
        <v>205</v>
      </c>
      <c r="B207" s="422" t="s">
        <v>420</v>
      </c>
      <c r="C207" s="393" t="s">
        <v>540</v>
      </c>
      <c r="D207" s="393">
        <v>3126</v>
      </c>
      <c r="E207" s="393">
        <v>6121</v>
      </c>
      <c r="F207" s="402">
        <v>49</v>
      </c>
      <c r="G207" s="394" t="s">
        <v>621</v>
      </c>
      <c r="H207" s="423">
        <v>2008</v>
      </c>
      <c r="I207" s="393">
        <v>2023</v>
      </c>
      <c r="J207" s="420">
        <v>75000</v>
      </c>
      <c r="K207" s="420"/>
      <c r="L207" s="420">
        <v>19266</v>
      </c>
      <c r="M207" s="421">
        <v>8000</v>
      </c>
      <c r="N207" s="421">
        <v>8000</v>
      </c>
      <c r="O207" s="420">
        <v>7678</v>
      </c>
      <c r="P207" s="399">
        <f t="shared" si="32"/>
        <v>0.95974999999999999</v>
      </c>
      <c r="Q207" s="421">
        <v>6000</v>
      </c>
      <c r="R207" s="400">
        <v>15000</v>
      </c>
      <c r="S207" s="401">
        <v>26734</v>
      </c>
      <c r="T207" s="402" t="s">
        <v>519</v>
      </c>
      <c r="U207" s="403"/>
      <c r="V207" s="404">
        <f t="shared" si="34"/>
        <v>0</v>
      </c>
      <c r="W207" s="405" t="str">
        <f>IF(AND(P207&lt;[3]koment!$F$1,N207&gt;=[3]koment!$F$2),"Komentovat","")</f>
        <v/>
      </c>
      <c r="X207" s="406">
        <f t="shared" si="33"/>
        <v>16</v>
      </c>
      <c r="Y207" s="404" t="str">
        <f t="shared" si="35"/>
        <v xml:space="preserve"> </v>
      </c>
      <c r="Z207" s="407">
        <f t="shared" si="36"/>
        <v>0</v>
      </c>
      <c r="AA207" s="408" t="str">
        <f t="shared" si="37"/>
        <v>560023213126612149</v>
      </c>
      <c r="AB207" s="388"/>
      <c r="AC207" s="409">
        <f t="shared" si="30"/>
        <v>0</v>
      </c>
      <c r="AD207" s="388"/>
      <c r="AE207" s="388"/>
      <c r="AF207" s="388"/>
    </row>
    <row r="208" spans="1:32" outlineLevel="2" x14ac:dyDescent="0.2">
      <c r="A208" s="391">
        <f t="shared" si="31"/>
        <v>206</v>
      </c>
      <c r="B208" s="422" t="s">
        <v>420</v>
      </c>
      <c r="C208" s="393" t="s">
        <v>540</v>
      </c>
      <c r="D208" s="393">
        <v>3159</v>
      </c>
      <c r="E208" s="393">
        <v>6121</v>
      </c>
      <c r="F208" s="402">
        <v>49</v>
      </c>
      <c r="G208" s="394" t="s">
        <v>622</v>
      </c>
      <c r="H208" s="423">
        <v>2007</v>
      </c>
      <c r="I208" s="393">
        <v>2017</v>
      </c>
      <c r="J208" s="420">
        <v>17685</v>
      </c>
      <c r="K208" s="420"/>
      <c r="L208" s="420">
        <v>950</v>
      </c>
      <c r="M208" s="421">
        <v>16625</v>
      </c>
      <c r="N208" s="421">
        <v>5160</v>
      </c>
      <c r="O208" s="420">
        <v>5160</v>
      </c>
      <c r="P208" s="399">
        <f t="shared" si="32"/>
        <v>1</v>
      </c>
      <c r="Q208" s="421">
        <v>11575</v>
      </c>
      <c r="R208" s="400"/>
      <c r="S208" s="401"/>
      <c r="T208" s="402" t="s">
        <v>519</v>
      </c>
      <c r="U208" s="403"/>
      <c r="V208" s="404">
        <f t="shared" si="34"/>
        <v>0</v>
      </c>
      <c r="W208" s="405" t="str">
        <f>IF(AND(P208&lt;[3]koment!$F$1,N208&gt;=[3]koment!$F$2),"Komentovat","")</f>
        <v/>
      </c>
      <c r="X208" s="406">
        <f t="shared" si="33"/>
        <v>16</v>
      </c>
      <c r="Y208" s="404" t="str">
        <f t="shared" si="35"/>
        <v xml:space="preserve"> </v>
      </c>
      <c r="Z208" s="407">
        <f t="shared" si="36"/>
        <v>0</v>
      </c>
      <c r="AA208" s="408" t="str">
        <f t="shared" si="37"/>
        <v>560023213159612149</v>
      </c>
      <c r="AB208" s="388"/>
      <c r="AC208" s="409">
        <f t="shared" si="30"/>
        <v>0</v>
      </c>
      <c r="AD208" s="388"/>
      <c r="AE208" s="388"/>
      <c r="AF208" s="388"/>
    </row>
    <row r="209" spans="1:32" outlineLevel="2" x14ac:dyDescent="0.2">
      <c r="A209" s="391">
        <f t="shared" si="31"/>
        <v>207</v>
      </c>
      <c r="B209" s="422" t="s">
        <v>420</v>
      </c>
      <c r="C209" s="393" t="s">
        <v>540</v>
      </c>
      <c r="D209" s="393">
        <v>3181</v>
      </c>
      <c r="E209" s="393">
        <v>6121</v>
      </c>
      <c r="F209" s="402">
        <v>49</v>
      </c>
      <c r="G209" s="394" t="s">
        <v>623</v>
      </c>
      <c r="H209" s="423">
        <v>2007</v>
      </c>
      <c r="I209" s="423">
        <v>2017</v>
      </c>
      <c r="J209" s="420">
        <v>20472</v>
      </c>
      <c r="K209" s="420"/>
      <c r="L209" s="420">
        <v>1520</v>
      </c>
      <c r="M209" s="421">
        <v>12405</v>
      </c>
      <c r="N209" s="421">
        <v>2620</v>
      </c>
      <c r="O209" s="420">
        <v>2607</v>
      </c>
      <c r="P209" s="399">
        <f t="shared" si="32"/>
        <v>0.99503816793893129</v>
      </c>
      <c r="Q209" s="421">
        <v>16332</v>
      </c>
      <c r="R209" s="400"/>
      <c r="S209" s="401"/>
      <c r="T209" s="402" t="s">
        <v>519</v>
      </c>
      <c r="U209" s="403"/>
      <c r="V209" s="404">
        <f t="shared" si="34"/>
        <v>0</v>
      </c>
      <c r="W209" s="405" t="str">
        <f>IF(AND(P209&lt;[3]koment!$F$1,N209&gt;=[3]koment!$F$2),"Komentovat","")</f>
        <v/>
      </c>
      <c r="X209" s="406">
        <f t="shared" si="33"/>
        <v>16</v>
      </c>
      <c r="Y209" s="404" t="str">
        <f t="shared" si="35"/>
        <v xml:space="preserve"> </v>
      </c>
      <c r="Z209" s="407">
        <f t="shared" si="36"/>
        <v>0</v>
      </c>
      <c r="AA209" s="408" t="str">
        <f t="shared" si="37"/>
        <v>560023213181612149</v>
      </c>
      <c r="AB209" s="388"/>
      <c r="AC209" s="409">
        <f t="shared" si="30"/>
        <v>0</v>
      </c>
      <c r="AD209" s="388"/>
      <c r="AE209" s="388"/>
      <c r="AF209" s="388"/>
    </row>
    <row r="210" spans="1:32" outlineLevel="2" x14ac:dyDescent="0.2">
      <c r="A210" s="391">
        <f t="shared" si="31"/>
        <v>208</v>
      </c>
      <c r="B210" s="422" t="s">
        <v>420</v>
      </c>
      <c r="C210" s="393" t="s">
        <v>540</v>
      </c>
      <c r="D210" s="393">
        <v>3353</v>
      </c>
      <c r="E210" s="393">
        <v>6121</v>
      </c>
      <c r="F210" s="402">
        <v>49</v>
      </c>
      <c r="G210" s="394" t="s">
        <v>624</v>
      </c>
      <c r="H210" s="423">
        <v>2005</v>
      </c>
      <c r="I210" s="393">
        <v>2016</v>
      </c>
      <c r="J210" s="420">
        <v>44699</v>
      </c>
      <c r="K210" s="420"/>
      <c r="L210" s="420">
        <v>6686</v>
      </c>
      <c r="M210" s="421">
        <v>38008</v>
      </c>
      <c r="N210" s="421">
        <f>38008+3</f>
        <v>38011</v>
      </c>
      <c r="O210" s="420">
        <v>37701</v>
      </c>
      <c r="P210" s="399">
        <f t="shared" si="32"/>
        <v>0.99184446607560972</v>
      </c>
      <c r="Q210" s="421"/>
      <c r="R210" s="400"/>
      <c r="S210" s="401"/>
      <c r="T210" s="402" t="s">
        <v>519</v>
      </c>
      <c r="U210" s="403"/>
      <c r="V210" s="404">
        <f t="shared" si="34"/>
        <v>2</v>
      </c>
      <c r="W210" s="405" t="str">
        <f>IF(AND(P210&lt;[3]koment!$F$1,N210&gt;=[3]koment!$F$2),"Komentovat","")</f>
        <v/>
      </c>
      <c r="X210" s="406">
        <f t="shared" si="33"/>
        <v>16</v>
      </c>
      <c r="Y210" s="404">
        <f t="shared" si="35"/>
        <v>5600</v>
      </c>
      <c r="Z210" s="407" t="str">
        <f t="shared" si="36"/>
        <v>ORG 3353 - Cornovova - rek. kanalizace a vodovodu</v>
      </c>
      <c r="AA210" s="408" t="str">
        <f t="shared" si="37"/>
        <v>560023213353612149</v>
      </c>
      <c r="AB210" s="388"/>
      <c r="AC210" s="409">
        <f t="shared" si="30"/>
        <v>2</v>
      </c>
      <c r="AD210" s="388"/>
      <c r="AE210" s="388"/>
      <c r="AF210" s="388"/>
    </row>
    <row r="211" spans="1:32" outlineLevel="2" x14ac:dyDescent="0.2">
      <c r="A211" s="391">
        <f t="shared" si="31"/>
        <v>209</v>
      </c>
      <c r="B211" s="422" t="s">
        <v>420</v>
      </c>
      <c r="C211" s="393" t="s">
        <v>540</v>
      </c>
      <c r="D211" s="393">
        <v>3375</v>
      </c>
      <c r="E211" s="393">
        <v>6121</v>
      </c>
      <c r="F211" s="444"/>
      <c r="G211" s="394" t="s">
        <v>625</v>
      </c>
      <c r="H211" s="445">
        <v>2004</v>
      </c>
      <c r="I211" s="393">
        <v>2017</v>
      </c>
      <c r="J211" s="420">
        <v>1566301</v>
      </c>
      <c r="K211" s="420">
        <v>920789</v>
      </c>
      <c r="L211" s="420">
        <v>637511</v>
      </c>
      <c r="M211" s="421">
        <v>14000</v>
      </c>
      <c r="N211" s="421">
        <v>234</v>
      </c>
      <c r="O211" s="420">
        <v>227</v>
      </c>
      <c r="P211" s="399">
        <f t="shared" si="32"/>
        <v>0.97008547008547008</v>
      </c>
      <c r="Q211" s="421">
        <v>11500</v>
      </c>
      <c r="R211" s="400"/>
      <c r="S211" s="401"/>
      <c r="T211" s="402" t="s">
        <v>423</v>
      </c>
      <c r="U211" s="403"/>
      <c r="V211" s="404">
        <f t="shared" si="34"/>
        <v>917056</v>
      </c>
      <c r="W211" s="405" t="str">
        <f>IF(AND(P211&lt;[3]koment!$F$1,N211&gt;=[3]koment!$F$2),"Komentovat","")</f>
        <v/>
      </c>
      <c r="X211" s="406">
        <f t="shared" si="33"/>
        <v>16</v>
      </c>
      <c r="Y211" s="404">
        <f t="shared" si="35"/>
        <v>5600</v>
      </c>
      <c r="Z211" s="407" t="str">
        <f t="shared" si="36"/>
        <v xml:space="preserve">ORG 3375 - Rekonstrukce a dostavba kanalizace v Brně </v>
      </c>
      <c r="AA211" s="408" t="str">
        <f t="shared" si="37"/>
        <v>5600232133756121</v>
      </c>
      <c r="AB211" s="388"/>
      <c r="AC211" s="409">
        <f t="shared" si="30"/>
        <v>917056</v>
      </c>
      <c r="AD211" s="388"/>
      <c r="AE211" s="388"/>
      <c r="AF211" s="388"/>
    </row>
    <row r="212" spans="1:32" outlineLevel="2" x14ac:dyDescent="0.2">
      <c r="A212" s="391">
        <f t="shared" si="31"/>
        <v>210</v>
      </c>
      <c r="B212" s="392" t="s">
        <v>420</v>
      </c>
      <c r="C212" s="393" t="s">
        <v>540</v>
      </c>
      <c r="D212" s="394">
        <v>3375</v>
      </c>
      <c r="E212" s="393">
        <v>6129</v>
      </c>
      <c r="F212" s="446"/>
      <c r="G212" s="394" t="s">
        <v>625</v>
      </c>
      <c r="H212" s="447">
        <v>2004</v>
      </c>
      <c r="I212" s="394">
        <v>2017</v>
      </c>
      <c r="J212" s="396"/>
      <c r="K212" s="396"/>
      <c r="L212" s="397"/>
      <c r="M212" s="398"/>
      <c r="N212" s="398">
        <v>43</v>
      </c>
      <c r="O212" s="396">
        <v>38</v>
      </c>
      <c r="P212" s="399">
        <f t="shared" si="32"/>
        <v>0.88372093023255816</v>
      </c>
      <c r="Q212" s="398"/>
      <c r="R212" s="400"/>
      <c r="S212" s="401"/>
      <c r="T212" s="402" t="s">
        <v>423</v>
      </c>
      <c r="U212" s="403"/>
      <c r="V212" s="404">
        <f t="shared" si="34"/>
        <v>-43</v>
      </c>
      <c r="W212" s="405" t="str">
        <f>IF(AND(P212&lt;[3]koment!$F$1,N212&gt;=[3]koment!$F$2),"Komentovat","")</f>
        <v/>
      </c>
      <c r="X212" s="406">
        <f t="shared" si="33"/>
        <v>16</v>
      </c>
      <c r="Y212" s="404">
        <f t="shared" si="35"/>
        <v>5600</v>
      </c>
      <c r="Z212" s="407" t="str">
        <f t="shared" si="36"/>
        <v xml:space="preserve">ORG 3375 - Rekonstrukce a dostavba kanalizace v Brně </v>
      </c>
      <c r="AA212" s="408" t="str">
        <f t="shared" si="37"/>
        <v>5600232133756129</v>
      </c>
      <c r="AB212" s="388"/>
      <c r="AC212" s="409">
        <f t="shared" si="30"/>
        <v>-43</v>
      </c>
      <c r="AD212" s="388"/>
      <c r="AE212" s="388"/>
      <c r="AF212" s="388"/>
    </row>
    <row r="213" spans="1:32" outlineLevel="2" x14ac:dyDescent="0.2">
      <c r="A213" s="391">
        <f t="shared" si="31"/>
        <v>211</v>
      </c>
      <c r="B213" s="392" t="s">
        <v>420</v>
      </c>
      <c r="C213" s="393" t="s">
        <v>540</v>
      </c>
      <c r="D213" s="394">
        <v>3375</v>
      </c>
      <c r="E213" s="393">
        <v>6130</v>
      </c>
      <c r="F213" s="446"/>
      <c r="G213" s="394" t="s">
        <v>626</v>
      </c>
      <c r="H213" s="447">
        <v>2004</v>
      </c>
      <c r="I213" s="394">
        <v>2017</v>
      </c>
      <c r="J213" s="396"/>
      <c r="K213" s="396"/>
      <c r="L213" s="397"/>
      <c r="M213" s="398"/>
      <c r="N213" s="398">
        <v>713</v>
      </c>
      <c r="O213" s="396">
        <v>680</v>
      </c>
      <c r="P213" s="399">
        <f t="shared" si="32"/>
        <v>0.95371669004207571</v>
      </c>
      <c r="Q213" s="398"/>
      <c r="R213" s="400"/>
      <c r="S213" s="401"/>
      <c r="T213" s="402" t="s">
        <v>423</v>
      </c>
      <c r="U213" s="403"/>
      <c r="V213" s="404">
        <f t="shared" si="34"/>
        <v>-713</v>
      </c>
      <c r="W213" s="405" t="str">
        <f>IF(AND(P213&lt;[3]koment!$F$1,N213&gt;=[3]koment!$F$2),"Komentovat","")</f>
        <v/>
      </c>
      <c r="X213" s="406">
        <f t="shared" si="33"/>
        <v>16</v>
      </c>
      <c r="Y213" s="404">
        <f t="shared" si="35"/>
        <v>5600</v>
      </c>
      <c r="Z213" s="407" t="str">
        <f t="shared" si="36"/>
        <v>ORG 3375 - Rekonstrukce a dostavba kanalizace v Brně</v>
      </c>
      <c r="AA213" s="408" t="str">
        <f t="shared" si="37"/>
        <v>5600232133756130</v>
      </c>
      <c r="AB213" s="388"/>
      <c r="AC213" s="409">
        <f t="shared" si="30"/>
        <v>-713</v>
      </c>
      <c r="AD213" s="388"/>
      <c r="AE213" s="388"/>
      <c r="AF213" s="388"/>
    </row>
    <row r="214" spans="1:32" outlineLevel="2" x14ac:dyDescent="0.2">
      <c r="A214" s="391">
        <f t="shared" si="31"/>
        <v>212</v>
      </c>
      <c r="B214" s="422" t="s">
        <v>420</v>
      </c>
      <c r="C214" s="393" t="s">
        <v>540</v>
      </c>
      <c r="D214" s="393">
        <v>3399</v>
      </c>
      <c r="E214" s="393">
        <v>6121</v>
      </c>
      <c r="F214" s="444">
        <v>49</v>
      </c>
      <c r="G214" s="394" t="s">
        <v>627</v>
      </c>
      <c r="H214" s="445">
        <v>2004</v>
      </c>
      <c r="I214" s="423">
        <v>2016</v>
      </c>
      <c r="J214" s="420">
        <v>2933</v>
      </c>
      <c r="K214" s="420"/>
      <c r="L214" s="420">
        <v>2733</v>
      </c>
      <c r="M214" s="421">
        <v>2500</v>
      </c>
      <c r="N214" s="421">
        <f>2500-2300</f>
        <v>200</v>
      </c>
      <c r="O214" s="420">
        <v>181</v>
      </c>
      <c r="P214" s="399">
        <f t="shared" si="32"/>
        <v>0.90500000000000003</v>
      </c>
      <c r="Q214" s="421"/>
      <c r="R214" s="400"/>
      <c r="S214" s="401"/>
      <c r="T214" s="402" t="s">
        <v>519</v>
      </c>
      <c r="U214" s="403"/>
      <c r="V214" s="404">
        <f t="shared" si="34"/>
        <v>0</v>
      </c>
      <c r="W214" s="405" t="str">
        <f>IF(AND(P214&lt;[3]koment!$F$1,N214&gt;=[3]koment!$F$2),"Komentovat","")</f>
        <v/>
      </c>
      <c r="X214" s="406">
        <f t="shared" si="33"/>
        <v>16</v>
      </c>
      <c r="Y214" s="404" t="str">
        <f t="shared" si="35"/>
        <v xml:space="preserve"> </v>
      </c>
      <c r="Z214" s="407">
        <f t="shared" si="36"/>
        <v>0</v>
      </c>
      <c r="AA214" s="408" t="str">
        <f t="shared" si="37"/>
        <v>560023213399612149</v>
      </c>
      <c r="AB214" s="388"/>
      <c r="AC214" s="409">
        <f t="shared" si="30"/>
        <v>0</v>
      </c>
      <c r="AD214" s="388"/>
      <c r="AE214" s="388"/>
      <c r="AF214" s="388"/>
    </row>
    <row r="215" spans="1:32" outlineLevel="2" x14ac:dyDescent="0.2">
      <c r="A215" s="391">
        <f t="shared" si="31"/>
        <v>213</v>
      </c>
      <c r="B215" s="422" t="s">
        <v>420</v>
      </c>
      <c r="C215" s="393" t="s">
        <v>540</v>
      </c>
      <c r="D215" s="393">
        <v>4130</v>
      </c>
      <c r="E215" s="393">
        <v>6121</v>
      </c>
      <c r="F215" s="444">
        <v>49</v>
      </c>
      <c r="G215" s="394" t="s">
        <v>628</v>
      </c>
      <c r="H215" s="445">
        <v>1998</v>
      </c>
      <c r="I215" s="393">
        <v>2022</v>
      </c>
      <c r="J215" s="420">
        <v>298000</v>
      </c>
      <c r="K215" s="420"/>
      <c r="L215" s="420">
        <v>213091</v>
      </c>
      <c r="M215" s="421">
        <v>26000</v>
      </c>
      <c r="N215" s="421">
        <v>24000</v>
      </c>
      <c r="O215" s="420">
        <v>23099</v>
      </c>
      <c r="P215" s="399">
        <f t="shared" si="32"/>
        <v>0.9624583333333333</v>
      </c>
      <c r="Q215" s="421">
        <v>24000</v>
      </c>
      <c r="R215" s="400">
        <v>17000</v>
      </c>
      <c r="S215" s="401">
        <v>19909</v>
      </c>
      <c r="T215" s="402" t="s">
        <v>519</v>
      </c>
      <c r="U215" s="403"/>
      <c r="V215" s="404">
        <f t="shared" si="34"/>
        <v>0</v>
      </c>
      <c r="W215" s="405" t="str">
        <f>IF(AND(P215&lt;[3]koment!$F$1,N215&gt;=[3]koment!$F$2),"Komentovat","")</f>
        <v/>
      </c>
      <c r="X215" s="406">
        <f t="shared" si="33"/>
        <v>16</v>
      </c>
      <c r="Y215" s="404" t="str">
        <f t="shared" si="35"/>
        <v xml:space="preserve"> </v>
      </c>
      <c r="Z215" s="407">
        <f t="shared" si="36"/>
        <v>0</v>
      </c>
      <c r="AA215" s="408" t="str">
        <f t="shared" si="37"/>
        <v>560023214130612149</v>
      </c>
      <c r="AB215" s="388"/>
      <c r="AC215" s="409">
        <f t="shared" si="30"/>
        <v>0</v>
      </c>
      <c r="AD215" s="388"/>
      <c r="AE215" s="388"/>
      <c r="AF215" s="388"/>
    </row>
    <row r="216" spans="1:32" outlineLevel="2" x14ac:dyDescent="0.2">
      <c r="A216" s="391">
        <f t="shared" si="31"/>
        <v>214</v>
      </c>
      <c r="B216" s="392" t="s">
        <v>420</v>
      </c>
      <c r="C216" s="393" t="s">
        <v>540</v>
      </c>
      <c r="D216" s="394">
        <v>4276</v>
      </c>
      <c r="E216" s="393">
        <v>6121</v>
      </c>
      <c r="F216" s="446">
        <v>49</v>
      </c>
      <c r="G216" s="394" t="s">
        <v>629</v>
      </c>
      <c r="H216" s="447">
        <v>2015</v>
      </c>
      <c r="I216" s="394">
        <v>2020</v>
      </c>
      <c r="J216" s="396">
        <v>300000</v>
      </c>
      <c r="K216" s="396"/>
      <c r="L216" s="397"/>
      <c r="M216" s="398">
        <v>20000</v>
      </c>
      <c r="N216" s="398">
        <v>0</v>
      </c>
      <c r="O216" s="396"/>
      <c r="P216" s="399" t="str">
        <f t="shared" si="32"/>
        <v xml:space="preserve"> </v>
      </c>
      <c r="Q216" s="398">
        <v>40000</v>
      </c>
      <c r="R216" s="400">
        <v>88000</v>
      </c>
      <c r="S216" s="401">
        <v>58000</v>
      </c>
      <c r="T216" s="402" t="s">
        <v>519</v>
      </c>
      <c r="U216" s="403"/>
      <c r="V216" s="404">
        <f t="shared" si="34"/>
        <v>114000</v>
      </c>
      <c r="W216" s="405" t="str">
        <f>IF(AND(P216&lt;[3]koment!$F$1,N216&gt;=[3]koment!$F$2),"Komentovat","")</f>
        <v/>
      </c>
      <c r="X216" s="406">
        <f t="shared" si="33"/>
        <v>16</v>
      </c>
      <c r="Y216" s="404">
        <f t="shared" si="35"/>
        <v>5600</v>
      </c>
      <c r="Z216" s="407" t="str">
        <f t="shared" si="36"/>
        <v>ORG 4276 - Tramvaj Plotní (vodohospodářské objekty)</v>
      </c>
      <c r="AA216" s="408" t="str">
        <f t="shared" si="37"/>
        <v>560023214276612149</v>
      </c>
      <c r="AB216" s="388"/>
      <c r="AC216" s="409">
        <f t="shared" si="30"/>
        <v>114000</v>
      </c>
      <c r="AD216" s="388"/>
      <c r="AE216" s="388"/>
      <c r="AF216" s="388"/>
    </row>
    <row r="217" spans="1:32" outlineLevel="2" x14ac:dyDescent="0.2">
      <c r="A217" s="391">
        <f t="shared" si="31"/>
        <v>215</v>
      </c>
      <c r="B217" s="422" t="s">
        <v>420</v>
      </c>
      <c r="C217" s="393" t="s">
        <v>540</v>
      </c>
      <c r="D217" s="393">
        <v>4455</v>
      </c>
      <c r="E217" s="393">
        <v>6121</v>
      </c>
      <c r="F217" s="402">
        <v>49</v>
      </c>
      <c r="G217" s="394" t="s">
        <v>630</v>
      </c>
      <c r="H217" s="423">
        <v>2001</v>
      </c>
      <c r="I217" s="393">
        <v>2021</v>
      </c>
      <c r="J217" s="420">
        <v>51093</v>
      </c>
      <c r="K217" s="420"/>
      <c r="L217" s="420">
        <v>0</v>
      </c>
      <c r="M217" s="421">
        <v>2000</v>
      </c>
      <c r="N217" s="421">
        <v>0</v>
      </c>
      <c r="O217" s="420"/>
      <c r="P217" s="399" t="str">
        <f t="shared" si="32"/>
        <v xml:space="preserve"> </v>
      </c>
      <c r="Q217" s="421">
        <v>100</v>
      </c>
      <c r="R217" s="400">
        <v>2000</v>
      </c>
      <c r="S217" s="401">
        <v>48993</v>
      </c>
      <c r="T217" s="402" t="s">
        <v>519</v>
      </c>
      <c r="U217" s="403"/>
      <c r="V217" s="404">
        <f t="shared" si="34"/>
        <v>0</v>
      </c>
      <c r="W217" s="405" t="str">
        <f>IF(AND(P217&lt;[3]koment!$F$1,N217&gt;=[3]koment!$F$2),"Komentovat","")</f>
        <v/>
      </c>
      <c r="X217" s="406">
        <f t="shared" si="33"/>
        <v>16</v>
      </c>
      <c r="Y217" s="404" t="str">
        <f t="shared" si="35"/>
        <v xml:space="preserve"> </v>
      </c>
      <c r="Z217" s="407">
        <f t="shared" si="36"/>
        <v>0</v>
      </c>
      <c r="AA217" s="408" t="str">
        <f t="shared" si="37"/>
        <v>560023214455612149</v>
      </c>
      <c r="AB217" s="388"/>
      <c r="AC217" s="409">
        <f t="shared" si="30"/>
        <v>0</v>
      </c>
      <c r="AD217" s="388"/>
      <c r="AE217" s="388"/>
      <c r="AF217" s="388"/>
    </row>
    <row r="218" spans="1:32" outlineLevel="2" x14ac:dyDescent="0.2">
      <c r="A218" s="391">
        <f t="shared" si="31"/>
        <v>216</v>
      </c>
      <c r="B218" s="422" t="s">
        <v>420</v>
      </c>
      <c r="C218" s="393" t="s">
        <v>540</v>
      </c>
      <c r="D218" s="393">
        <v>4474</v>
      </c>
      <c r="E218" s="393">
        <v>6121</v>
      </c>
      <c r="F218" s="402">
        <v>49</v>
      </c>
      <c r="G218" s="394" t="s">
        <v>631</v>
      </c>
      <c r="H218" s="423">
        <v>2001</v>
      </c>
      <c r="I218" s="423">
        <v>2016</v>
      </c>
      <c r="J218" s="420">
        <v>47710</v>
      </c>
      <c r="K218" s="420"/>
      <c r="L218" s="420">
        <v>35535</v>
      </c>
      <c r="M218" s="421">
        <v>12175</v>
      </c>
      <c r="N218" s="421">
        <v>12175</v>
      </c>
      <c r="O218" s="420">
        <v>12169</v>
      </c>
      <c r="P218" s="399">
        <f t="shared" si="32"/>
        <v>0.99950718685831619</v>
      </c>
      <c r="Q218" s="421"/>
      <c r="R218" s="400"/>
      <c r="S218" s="401"/>
      <c r="T218" s="402" t="s">
        <v>519</v>
      </c>
      <c r="U218" s="403"/>
      <c r="V218" s="404">
        <f t="shared" si="34"/>
        <v>0</v>
      </c>
      <c r="W218" s="405" t="str">
        <f>IF(AND(P218&lt;[3]koment!$F$1,N218&gt;=[3]koment!$F$2),"Komentovat","")</f>
        <v/>
      </c>
      <c r="X218" s="406">
        <f t="shared" si="33"/>
        <v>16</v>
      </c>
      <c r="Y218" s="404" t="str">
        <f t="shared" si="35"/>
        <v xml:space="preserve"> </v>
      </c>
      <c r="Z218" s="407">
        <f t="shared" si="36"/>
        <v>0</v>
      </c>
      <c r="AA218" s="408" t="str">
        <f t="shared" si="37"/>
        <v>560023214474612149</v>
      </c>
      <c r="AB218" s="388"/>
      <c r="AC218" s="409">
        <f t="shared" si="30"/>
        <v>0</v>
      </c>
      <c r="AD218" s="388"/>
      <c r="AE218" s="388"/>
      <c r="AF218" s="388"/>
    </row>
    <row r="219" spans="1:32" outlineLevel="2" x14ac:dyDescent="0.2">
      <c r="A219" s="391">
        <f t="shared" si="31"/>
        <v>217</v>
      </c>
      <c r="B219" s="422" t="s">
        <v>420</v>
      </c>
      <c r="C219" s="393" t="s">
        <v>540</v>
      </c>
      <c r="D219" s="393">
        <v>4500</v>
      </c>
      <c r="E219" s="393">
        <v>6121</v>
      </c>
      <c r="F219" s="402">
        <v>49</v>
      </c>
      <c r="G219" s="394" t="s">
        <v>632</v>
      </c>
      <c r="H219" s="423">
        <v>2010</v>
      </c>
      <c r="I219" s="393">
        <v>2016</v>
      </c>
      <c r="J219" s="420">
        <v>32534</v>
      </c>
      <c r="K219" s="420"/>
      <c r="L219" s="420">
        <v>17315</v>
      </c>
      <c r="M219" s="421">
        <v>15006</v>
      </c>
      <c r="N219" s="421">
        <f>15006+213</f>
        <v>15219</v>
      </c>
      <c r="O219" s="420">
        <v>14151</v>
      </c>
      <c r="P219" s="399">
        <f t="shared" si="32"/>
        <v>0.92982456140350878</v>
      </c>
      <c r="Q219" s="421"/>
      <c r="R219" s="400"/>
      <c r="S219" s="401"/>
      <c r="T219" s="402" t="s">
        <v>519</v>
      </c>
      <c r="U219" s="403"/>
      <c r="V219" s="404">
        <f t="shared" si="34"/>
        <v>0</v>
      </c>
      <c r="W219" s="405" t="str">
        <f>IF(AND(P219&lt;[3]koment!$F$1,N219&gt;=[3]koment!$F$2),"Komentovat","")</f>
        <v/>
      </c>
      <c r="X219" s="406">
        <f t="shared" si="33"/>
        <v>16</v>
      </c>
      <c r="Y219" s="404" t="str">
        <f t="shared" si="35"/>
        <v xml:space="preserve"> </v>
      </c>
      <c r="Z219" s="407">
        <f t="shared" si="36"/>
        <v>0</v>
      </c>
      <c r="AA219" s="408" t="str">
        <f t="shared" si="37"/>
        <v>560023214500612149</v>
      </c>
      <c r="AB219" s="388"/>
      <c r="AC219" s="409">
        <f t="shared" si="30"/>
        <v>0</v>
      </c>
      <c r="AD219" s="388"/>
      <c r="AE219" s="388"/>
      <c r="AF219" s="388"/>
    </row>
    <row r="220" spans="1:32" outlineLevel="2" x14ac:dyDescent="0.2">
      <c r="A220" s="391">
        <f t="shared" si="31"/>
        <v>218</v>
      </c>
      <c r="B220" s="422" t="s">
        <v>420</v>
      </c>
      <c r="C220" s="393" t="s">
        <v>540</v>
      </c>
      <c r="D220" s="393">
        <v>4649</v>
      </c>
      <c r="E220" s="393">
        <v>6121</v>
      </c>
      <c r="F220" s="402">
        <v>49</v>
      </c>
      <c r="G220" s="394" t="s">
        <v>633</v>
      </c>
      <c r="H220" s="423">
        <v>2002</v>
      </c>
      <c r="I220" s="393">
        <v>2018</v>
      </c>
      <c r="J220" s="420">
        <v>151880</v>
      </c>
      <c r="K220" s="420"/>
      <c r="L220" s="420">
        <v>719</v>
      </c>
      <c r="M220" s="421">
        <v>2060</v>
      </c>
      <c r="N220" s="421">
        <v>1580</v>
      </c>
      <c r="O220" s="420">
        <v>606</v>
      </c>
      <c r="P220" s="399">
        <f t="shared" si="32"/>
        <v>0.38354430379746834</v>
      </c>
      <c r="Q220" s="421">
        <v>11820</v>
      </c>
      <c r="R220" s="400">
        <v>137761</v>
      </c>
      <c r="S220" s="401">
        <v>0</v>
      </c>
      <c r="T220" s="402" t="s">
        <v>519</v>
      </c>
      <c r="U220" s="403"/>
      <c r="V220" s="404">
        <f t="shared" si="34"/>
        <v>0</v>
      </c>
      <c r="W220" s="405" t="str">
        <f>IF(AND(P220&lt;[3]koment!$F$1,N220&gt;=[3]koment!$F$2),"Komentovat","")</f>
        <v>Komentovat</v>
      </c>
      <c r="X220" s="406">
        <f t="shared" si="33"/>
        <v>17</v>
      </c>
      <c r="Y220" s="404" t="str">
        <f t="shared" si="35"/>
        <v xml:space="preserve"> </v>
      </c>
      <c r="Z220" s="407">
        <f t="shared" si="36"/>
        <v>0</v>
      </c>
      <c r="AA220" s="408" t="str">
        <f t="shared" si="37"/>
        <v>560023214649612149</v>
      </c>
      <c r="AB220" s="388"/>
      <c r="AC220" s="409">
        <f t="shared" si="30"/>
        <v>0</v>
      </c>
      <c r="AD220" s="388"/>
      <c r="AE220" s="388"/>
      <c r="AF220" s="388"/>
    </row>
    <row r="221" spans="1:32" outlineLevel="2" x14ac:dyDescent="0.2">
      <c r="A221" s="391">
        <f t="shared" si="31"/>
        <v>219</v>
      </c>
      <c r="B221" s="422" t="s">
        <v>420</v>
      </c>
      <c r="C221" s="393" t="s">
        <v>540</v>
      </c>
      <c r="D221" s="393">
        <v>4651</v>
      </c>
      <c r="E221" s="393">
        <v>6121</v>
      </c>
      <c r="F221" s="402">
        <v>49</v>
      </c>
      <c r="G221" s="394" t="s">
        <v>634</v>
      </c>
      <c r="H221" s="423">
        <v>2002</v>
      </c>
      <c r="I221" s="393">
        <v>2021</v>
      </c>
      <c r="J221" s="420">
        <v>43901</v>
      </c>
      <c r="K221" s="420"/>
      <c r="L221" s="420">
        <v>779</v>
      </c>
      <c r="M221" s="421">
        <v>1250</v>
      </c>
      <c r="N221" s="421">
        <v>0</v>
      </c>
      <c r="O221" s="420">
        <v>0</v>
      </c>
      <c r="P221" s="399" t="str">
        <f t="shared" si="32"/>
        <v xml:space="preserve"> </v>
      </c>
      <c r="Q221" s="421">
        <v>1250</v>
      </c>
      <c r="R221" s="400">
        <v>50</v>
      </c>
      <c r="S221" s="401">
        <v>41822</v>
      </c>
      <c r="T221" s="402" t="s">
        <v>519</v>
      </c>
      <c r="U221" s="403"/>
      <c r="V221" s="404">
        <f t="shared" si="34"/>
        <v>0</v>
      </c>
      <c r="W221" s="405" t="str">
        <f>IF(AND(P221&lt;[3]koment!$F$1,N221&gt;=[3]koment!$F$2),"Komentovat","")</f>
        <v/>
      </c>
      <c r="X221" s="406">
        <f t="shared" si="33"/>
        <v>17</v>
      </c>
      <c r="Y221" s="404" t="str">
        <f t="shared" si="35"/>
        <v xml:space="preserve"> </v>
      </c>
      <c r="Z221" s="407">
        <f t="shared" si="36"/>
        <v>0</v>
      </c>
      <c r="AA221" s="408" t="str">
        <f t="shared" si="37"/>
        <v>560023214651612149</v>
      </c>
      <c r="AB221" s="388"/>
      <c r="AC221" s="409">
        <f t="shared" si="30"/>
        <v>0</v>
      </c>
      <c r="AD221" s="388"/>
      <c r="AE221" s="388"/>
      <c r="AF221" s="388"/>
    </row>
    <row r="222" spans="1:32" outlineLevel="1" x14ac:dyDescent="0.2">
      <c r="A222" s="391">
        <f t="shared" si="31"/>
        <v>220</v>
      </c>
      <c r="B222" s="422"/>
      <c r="C222" s="424" t="s">
        <v>635</v>
      </c>
      <c r="D222" s="393"/>
      <c r="E222" s="393"/>
      <c r="F222" s="402"/>
      <c r="G222" s="394"/>
      <c r="H222" s="423"/>
      <c r="I222" s="393"/>
      <c r="J222" s="420">
        <f t="shared" ref="J222:O222" si="38">SUBTOTAL(9,J121:J221)</f>
        <v>7984569</v>
      </c>
      <c r="K222" s="420">
        <f t="shared" si="38"/>
        <v>920789</v>
      </c>
      <c r="L222" s="420">
        <f t="shared" si="38"/>
        <v>1081057</v>
      </c>
      <c r="M222" s="421">
        <f t="shared" si="38"/>
        <v>622969</v>
      </c>
      <c r="N222" s="421">
        <f t="shared" si="38"/>
        <v>507959</v>
      </c>
      <c r="O222" s="420">
        <f t="shared" si="38"/>
        <v>437349</v>
      </c>
      <c r="P222" s="399">
        <f t="shared" si="32"/>
        <v>0.86099271791620979</v>
      </c>
      <c r="Q222" s="421">
        <f>SUBTOTAL(9,Q121:Q221)</f>
        <v>631313</v>
      </c>
      <c r="R222" s="400">
        <f>SUBTOTAL(9,R121:R221)</f>
        <v>578312</v>
      </c>
      <c r="S222" s="401">
        <f>SUBTOTAL(9,S121:S221)</f>
        <v>4168797</v>
      </c>
      <c r="T222" s="402"/>
      <c r="U222" s="403"/>
      <c r="V222" s="404"/>
      <c r="W222" s="405"/>
      <c r="X222" s="406"/>
      <c r="Y222" s="404" t="str">
        <f>IF($V222=0," ",IF(LEN($B222)=4,$B222*1,$B222))</f>
        <v xml:space="preserve"> </v>
      </c>
      <c r="Z222" s="407">
        <f>IF($Y222=" ",0,"ORG "&amp;$D222&amp;" - "&amp;$G222)</f>
        <v>0</v>
      </c>
      <c r="AA222" s="408" t="str">
        <f>$B222&amp;LEFT($C222,4)&amp;$D222&amp;$E222&amp;$F222</f>
        <v>Celk</v>
      </c>
      <c r="AB222" s="388"/>
      <c r="AC222" s="409"/>
      <c r="AD222" s="388"/>
      <c r="AE222" s="388"/>
      <c r="AF222" s="388"/>
    </row>
    <row r="223" spans="1:32" outlineLevel="2" x14ac:dyDescent="0.2">
      <c r="A223" s="391">
        <f t="shared" si="31"/>
        <v>221</v>
      </c>
      <c r="B223" s="392" t="s">
        <v>420</v>
      </c>
      <c r="C223" s="393" t="s">
        <v>636</v>
      </c>
      <c r="D223" s="394">
        <v>2645</v>
      </c>
      <c r="E223" s="393">
        <v>6121</v>
      </c>
      <c r="F223" s="395"/>
      <c r="G223" s="394" t="s">
        <v>637</v>
      </c>
      <c r="H223" s="394">
        <v>2016</v>
      </c>
      <c r="I223" s="394">
        <v>2016</v>
      </c>
      <c r="J223" s="396">
        <v>4200</v>
      </c>
      <c r="K223" s="396"/>
      <c r="L223" s="397"/>
      <c r="M223" s="398"/>
      <c r="N223" s="398">
        <v>4200</v>
      </c>
      <c r="O223" s="396">
        <v>4192</v>
      </c>
      <c r="P223" s="399">
        <f t="shared" si="32"/>
        <v>0.99809523809523815</v>
      </c>
      <c r="Q223" s="398"/>
      <c r="R223" s="400"/>
      <c r="S223" s="401"/>
      <c r="T223" s="402" t="s">
        <v>423</v>
      </c>
      <c r="U223" s="403"/>
      <c r="V223" s="404">
        <f t="shared" si="34"/>
        <v>0</v>
      </c>
      <c r="W223" s="405" t="str">
        <f>IF(AND(P223&lt;[3]koment!$F$1,N223&gt;=[3]koment!$F$2),"Komentovat","")</f>
        <v/>
      </c>
      <c r="X223" s="406">
        <f>IF(W223="Komentovat",X221+1,X221)</f>
        <v>17</v>
      </c>
      <c r="Y223" s="404" t="str">
        <f t="shared" si="35"/>
        <v xml:space="preserve"> </v>
      </c>
      <c r="Z223" s="407">
        <f t="shared" si="36"/>
        <v>0</v>
      </c>
      <c r="AA223" s="408" t="str">
        <f t="shared" si="37"/>
        <v>5600232926456121</v>
      </c>
      <c r="AB223" s="388"/>
      <c r="AC223" s="409">
        <f t="shared" si="30"/>
        <v>0</v>
      </c>
      <c r="AD223" s="388"/>
      <c r="AE223" s="388"/>
      <c r="AF223" s="388"/>
    </row>
    <row r="224" spans="1:32" outlineLevel="2" x14ac:dyDescent="0.2">
      <c r="A224" s="391">
        <f t="shared" si="31"/>
        <v>222</v>
      </c>
      <c r="B224" s="419">
        <v>5600</v>
      </c>
      <c r="C224" s="393" t="s">
        <v>636</v>
      </c>
      <c r="D224" s="393">
        <v>2944</v>
      </c>
      <c r="E224" s="393">
        <v>6121</v>
      </c>
      <c r="F224" s="402"/>
      <c r="G224" s="394" t="s">
        <v>638</v>
      </c>
      <c r="H224" s="419"/>
      <c r="I224" s="419"/>
      <c r="J224" s="420"/>
      <c r="K224" s="420"/>
      <c r="L224" s="420">
        <v>2359</v>
      </c>
      <c r="M224" s="421">
        <v>20000</v>
      </c>
      <c r="N224" s="421">
        <v>464</v>
      </c>
      <c r="O224" s="420">
        <v>0</v>
      </c>
      <c r="P224" s="399">
        <f t="shared" si="32"/>
        <v>0</v>
      </c>
      <c r="Q224" s="421">
        <v>20000</v>
      </c>
      <c r="R224" s="400"/>
      <c r="S224" s="401"/>
      <c r="T224" s="402" t="s">
        <v>423</v>
      </c>
      <c r="U224" s="403"/>
      <c r="V224" s="404">
        <f t="shared" si="34"/>
        <v>-22823</v>
      </c>
      <c r="W224" s="405" t="str">
        <f>IF(AND(P224&lt;[3]koment!$F$1,N224&gt;=[3]koment!$F$2),"Komentovat","")</f>
        <v/>
      </c>
      <c r="X224" s="406">
        <f t="shared" si="33"/>
        <v>17</v>
      </c>
      <c r="Y224" s="404">
        <f t="shared" si="35"/>
        <v>5600</v>
      </c>
      <c r="Z224" s="407" t="str">
        <f t="shared" si="36"/>
        <v>ORG 2944 - Majetkoprávní vypoř. a přípr. vodohosp. staveb</v>
      </c>
      <c r="AA224" s="408" t="str">
        <f t="shared" si="37"/>
        <v>5600232929446121</v>
      </c>
      <c r="AB224" s="388"/>
      <c r="AC224" s="409">
        <f t="shared" si="30"/>
        <v>-22823</v>
      </c>
      <c r="AD224" s="388"/>
      <c r="AE224" s="388"/>
      <c r="AF224" s="388"/>
    </row>
    <row r="225" spans="1:32" outlineLevel="2" x14ac:dyDescent="0.2">
      <c r="A225" s="391">
        <f t="shared" si="31"/>
        <v>223</v>
      </c>
      <c r="B225" s="392" t="s">
        <v>420</v>
      </c>
      <c r="C225" s="393" t="s">
        <v>636</v>
      </c>
      <c r="D225" s="394">
        <v>2944</v>
      </c>
      <c r="E225" s="393">
        <v>6130</v>
      </c>
      <c r="F225" s="395"/>
      <c r="G225" s="394" t="s">
        <v>639</v>
      </c>
      <c r="H225" s="394"/>
      <c r="I225" s="394"/>
      <c r="J225" s="396"/>
      <c r="K225" s="396"/>
      <c r="L225" s="397"/>
      <c r="M225" s="398"/>
      <c r="N225" s="398">
        <v>336</v>
      </c>
      <c r="O225" s="396">
        <v>336</v>
      </c>
      <c r="P225" s="399">
        <f t="shared" si="32"/>
        <v>1</v>
      </c>
      <c r="Q225" s="398"/>
      <c r="R225" s="400"/>
      <c r="S225" s="401"/>
      <c r="T225" s="402" t="s">
        <v>423</v>
      </c>
      <c r="U225" s="403"/>
      <c r="V225" s="404">
        <f t="shared" si="34"/>
        <v>-336</v>
      </c>
      <c r="W225" s="405" t="str">
        <f>IF(AND(P225&lt;[3]koment!$F$1,N225&gt;=[3]koment!$F$2),"Komentovat","")</f>
        <v/>
      </c>
      <c r="X225" s="406">
        <f t="shared" si="33"/>
        <v>17</v>
      </c>
      <c r="Y225" s="404">
        <f t="shared" si="35"/>
        <v>5600</v>
      </c>
      <c r="Z225" s="407" t="str">
        <f t="shared" si="36"/>
        <v xml:space="preserve">ORG 2944 - Majetkoprávní vypořádání a příprava staveb </v>
      </c>
      <c r="AA225" s="408" t="str">
        <f t="shared" si="37"/>
        <v>5600232929446130</v>
      </c>
      <c r="AB225" s="388"/>
      <c r="AC225" s="409">
        <f t="shared" si="30"/>
        <v>-336</v>
      </c>
      <c r="AD225" s="388"/>
      <c r="AE225" s="388"/>
      <c r="AF225" s="388"/>
    </row>
    <row r="226" spans="1:32" outlineLevel="2" x14ac:dyDescent="0.2">
      <c r="A226" s="391">
        <f t="shared" si="31"/>
        <v>224</v>
      </c>
      <c r="B226" s="422" t="s">
        <v>420</v>
      </c>
      <c r="C226" s="393" t="s">
        <v>636</v>
      </c>
      <c r="D226" s="393">
        <v>3188</v>
      </c>
      <c r="E226" s="393">
        <v>6121</v>
      </c>
      <c r="F226" s="402"/>
      <c r="G226" s="394" t="s">
        <v>640</v>
      </c>
      <c r="H226" s="393"/>
      <c r="I226" s="393"/>
      <c r="J226" s="420"/>
      <c r="K226" s="420"/>
      <c r="L226" s="420">
        <v>410</v>
      </c>
      <c r="M226" s="421">
        <v>1650</v>
      </c>
      <c r="N226" s="421">
        <v>1650</v>
      </c>
      <c r="O226" s="420">
        <v>37</v>
      </c>
      <c r="P226" s="399">
        <f t="shared" si="32"/>
        <v>2.2424242424242423E-2</v>
      </c>
      <c r="Q226" s="421">
        <v>1650</v>
      </c>
      <c r="R226" s="400"/>
      <c r="S226" s="401"/>
      <c r="T226" s="402" t="s">
        <v>423</v>
      </c>
      <c r="U226" s="403"/>
      <c r="V226" s="404">
        <f t="shared" si="34"/>
        <v>-3710</v>
      </c>
      <c r="W226" s="405" t="str">
        <f>IF(AND(P226&lt;[3]koment!$F$1,N226&gt;=[3]koment!$F$2),"Komentovat","")</f>
        <v>Komentovat</v>
      </c>
      <c r="X226" s="406">
        <f t="shared" si="33"/>
        <v>18</v>
      </c>
      <c r="Y226" s="404">
        <f t="shared" si="35"/>
        <v>5600</v>
      </c>
      <c r="Z226" s="407" t="str">
        <f t="shared" si="36"/>
        <v>ORG 3188 - Nákup inženýrských sítí do majetku MB</v>
      </c>
      <c r="AA226" s="408" t="str">
        <f t="shared" si="37"/>
        <v>5600232931886121</v>
      </c>
      <c r="AB226" s="388"/>
      <c r="AC226" s="409">
        <f t="shared" si="30"/>
        <v>-3710</v>
      </c>
      <c r="AD226" s="388"/>
      <c r="AE226" s="388"/>
      <c r="AF226" s="388"/>
    </row>
    <row r="227" spans="1:32" outlineLevel="2" x14ac:dyDescent="0.2">
      <c r="A227" s="391">
        <f t="shared" si="31"/>
        <v>225</v>
      </c>
      <c r="B227" s="422" t="s">
        <v>420</v>
      </c>
      <c r="C227" s="393" t="s">
        <v>636</v>
      </c>
      <c r="D227" s="393">
        <v>3340</v>
      </c>
      <c r="E227" s="393">
        <v>6121</v>
      </c>
      <c r="F227" s="402"/>
      <c r="G227" s="394" t="s">
        <v>641</v>
      </c>
      <c r="H227" s="393"/>
      <c r="I227" s="393"/>
      <c r="J227" s="420"/>
      <c r="K227" s="420"/>
      <c r="L227" s="420">
        <v>63795</v>
      </c>
      <c r="M227" s="421">
        <v>3000</v>
      </c>
      <c r="N227" s="421">
        <v>3000</v>
      </c>
      <c r="O227" s="420">
        <v>1786</v>
      </c>
      <c r="P227" s="399">
        <f t="shared" si="32"/>
        <v>0.59533333333333338</v>
      </c>
      <c r="Q227" s="421">
        <v>3000</v>
      </c>
      <c r="R227" s="400"/>
      <c r="S227" s="401"/>
      <c r="T227" s="402" t="s">
        <v>423</v>
      </c>
      <c r="U227" s="403"/>
      <c r="V227" s="404">
        <f t="shared" si="34"/>
        <v>-69795</v>
      </c>
      <c r="W227" s="405" t="str">
        <f>IF(AND(P227&lt;[3]koment!$F$1,N227&gt;=[3]koment!$F$2),"Komentovat","")</f>
        <v>Komentovat</v>
      </c>
      <c r="X227" s="406">
        <f t="shared" si="33"/>
        <v>19</v>
      </c>
      <c r="Y227" s="404">
        <f t="shared" si="35"/>
        <v>5600</v>
      </c>
      <c r="Z227" s="407" t="str">
        <f t="shared" si="36"/>
        <v>ORG 3340 - Nezdrojová DPH</v>
      </c>
      <c r="AA227" s="408" t="str">
        <f t="shared" si="37"/>
        <v>5600232933406121</v>
      </c>
      <c r="AB227" s="388"/>
      <c r="AC227" s="409">
        <f t="shared" si="30"/>
        <v>-69795</v>
      </c>
      <c r="AD227" s="388"/>
      <c r="AE227" s="388"/>
      <c r="AF227" s="388"/>
    </row>
    <row r="228" spans="1:32" outlineLevel="2" x14ac:dyDescent="0.2">
      <c r="A228" s="391">
        <f t="shared" si="31"/>
        <v>226</v>
      </c>
      <c r="B228" s="422" t="s">
        <v>420</v>
      </c>
      <c r="C228" s="393" t="s">
        <v>636</v>
      </c>
      <c r="D228" s="393">
        <v>4056</v>
      </c>
      <c r="E228" s="393">
        <v>6121</v>
      </c>
      <c r="F228" s="402">
        <v>49</v>
      </c>
      <c r="G228" s="394" t="s">
        <v>642</v>
      </c>
      <c r="H228" s="393"/>
      <c r="I228" s="393"/>
      <c r="J228" s="420"/>
      <c r="K228" s="420"/>
      <c r="L228" s="420">
        <v>26482</v>
      </c>
      <c r="M228" s="421">
        <v>2000</v>
      </c>
      <c r="N228" s="421">
        <v>1750</v>
      </c>
      <c r="O228" s="420">
        <v>83</v>
      </c>
      <c r="P228" s="399">
        <f t="shared" si="32"/>
        <v>4.7428571428571431E-2</v>
      </c>
      <c r="Q228" s="421">
        <v>10000</v>
      </c>
      <c r="R228" s="400">
        <v>2000</v>
      </c>
      <c r="S228" s="401">
        <v>4000</v>
      </c>
      <c r="T228" s="402" t="s">
        <v>519</v>
      </c>
      <c r="U228" s="403"/>
      <c r="V228" s="404">
        <f t="shared" si="34"/>
        <v>-44232</v>
      </c>
      <c r="W228" s="405" t="str">
        <f>IF(AND(P228&lt;[3]koment!$F$1,N228&gt;=[3]koment!$F$2),"Komentovat","")</f>
        <v>Komentovat</v>
      </c>
      <c r="X228" s="406">
        <f t="shared" si="33"/>
        <v>20</v>
      </c>
      <c r="Y228" s="404">
        <f t="shared" si="35"/>
        <v>5600</v>
      </c>
      <c r="Z228" s="407" t="str">
        <f t="shared" si="36"/>
        <v>ORG 4056 - Příprava staveb, geom. plány a výkupy pozemků</v>
      </c>
      <c r="AA228" s="408" t="str">
        <f t="shared" si="37"/>
        <v>560023294056612149</v>
      </c>
      <c r="AB228" s="388"/>
      <c r="AC228" s="409">
        <f t="shared" si="30"/>
        <v>-44232</v>
      </c>
      <c r="AD228" s="388"/>
      <c r="AE228" s="388"/>
      <c r="AF228" s="388"/>
    </row>
    <row r="229" spans="1:32" outlineLevel="2" x14ac:dyDescent="0.2">
      <c r="A229" s="391">
        <f t="shared" si="31"/>
        <v>227</v>
      </c>
      <c r="B229" s="392" t="s">
        <v>420</v>
      </c>
      <c r="C229" s="393" t="s">
        <v>636</v>
      </c>
      <c r="D229" s="394">
        <v>4056</v>
      </c>
      <c r="E229" s="393">
        <v>6129</v>
      </c>
      <c r="F229" s="395">
        <v>49</v>
      </c>
      <c r="G229" s="394" t="s">
        <v>642</v>
      </c>
      <c r="H229" s="394"/>
      <c r="I229" s="394"/>
      <c r="J229" s="396"/>
      <c r="K229" s="396"/>
      <c r="L229" s="397"/>
      <c r="M229" s="398"/>
      <c r="N229" s="398">
        <v>250</v>
      </c>
      <c r="O229" s="396">
        <v>250</v>
      </c>
      <c r="P229" s="399">
        <f t="shared" si="32"/>
        <v>1</v>
      </c>
      <c r="Q229" s="398"/>
      <c r="R229" s="400"/>
      <c r="S229" s="401"/>
      <c r="T229" s="402" t="s">
        <v>423</v>
      </c>
      <c r="U229" s="403"/>
      <c r="V229" s="404">
        <f t="shared" si="34"/>
        <v>-250</v>
      </c>
      <c r="W229" s="405" t="str">
        <f>IF(AND(P229&lt;[3]koment!$F$1,N229&gt;=[3]koment!$F$2),"Komentovat","")</f>
        <v/>
      </c>
      <c r="X229" s="406">
        <f t="shared" si="33"/>
        <v>20</v>
      </c>
      <c r="Y229" s="404">
        <f t="shared" si="35"/>
        <v>5600</v>
      </c>
      <c r="Z229" s="407" t="str">
        <f t="shared" si="36"/>
        <v>ORG 4056 - Příprava staveb, geom. plány a výkupy pozemků</v>
      </c>
      <c r="AA229" s="408" t="str">
        <f t="shared" si="37"/>
        <v>560023294056612949</v>
      </c>
      <c r="AB229" s="388"/>
      <c r="AC229" s="409">
        <f t="shared" si="30"/>
        <v>-250</v>
      </c>
      <c r="AD229" s="388"/>
      <c r="AE229" s="388"/>
      <c r="AF229" s="388"/>
    </row>
    <row r="230" spans="1:32" outlineLevel="1" x14ac:dyDescent="0.2">
      <c r="A230" s="391">
        <f t="shared" si="31"/>
        <v>228</v>
      </c>
      <c r="B230" s="392"/>
      <c r="C230" s="424" t="s">
        <v>643</v>
      </c>
      <c r="D230" s="394"/>
      <c r="E230" s="393"/>
      <c r="F230" s="395"/>
      <c r="G230" s="394"/>
      <c r="H230" s="394"/>
      <c r="I230" s="394"/>
      <c r="J230" s="396">
        <f t="shared" ref="J230:O230" si="39">SUBTOTAL(9,J223:J229)</f>
        <v>4200</v>
      </c>
      <c r="K230" s="396">
        <f t="shared" si="39"/>
        <v>0</v>
      </c>
      <c r="L230" s="397">
        <f t="shared" si="39"/>
        <v>93046</v>
      </c>
      <c r="M230" s="398">
        <f t="shared" si="39"/>
        <v>26650</v>
      </c>
      <c r="N230" s="398">
        <f t="shared" si="39"/>
        <v>11650</v>
      </c>
      <c r="O230" s="396">
        <f t="shared" si="39"/>
        <v>6684</v>
      </c>
      <c r="P230" s="399">
        <f t="shared" si="32"/>
        <v>0.57373390557939918</v>
      </c>
      <c r="Q230" s="398">
        <f>SUBTOTAL(9,Q223:Q229)</f>
        <v>34650</v>
      </c>
      <c r="R230" s="400">
        <f>SUBTOTAL(9,R223:R229)</f>
        <v>2000</v>
      </c>
      <c r="S230" s="401">
        <f>SUBTOTAL(9,S223:S229)</f>
        <v>4000</v>
      </c>
      <c r="T230" s="402"/>
      <c r="U230" s="403"/>
      <c r="V230" s="404"/>
      <c r="W230" s="405"/>
      <c r="X230" s="406"/>
      <c r="Y230" s="404" t="str">
        <f>IF($V230=0," ",IF(LEN($B230)=4,$B230*1,$B230))</f>
        <v xml:space="preserve"> </v>
      </c>
      <c r="Z230" s="407">
        <f>IF($Y230=" ",0,"ORG "&amp;$D230&amp;" - "&amp;$G230)</f>
        <v>0</v>
      </c>
      <c r="AA230" s="408" t="str">
        <f>$B230&amp;LEFT($C230,4)&amp;$D230&amp;$E230&amp;$F230</f>
        <v>Celk</v>
      </c>
      <c r="AB230" s="388"/>
      <c r="AC230" s="409"/>
      <c r="AD230" s="388"/>
      <c r="AE230" s="388"/>
      <c r="AF230" s="388"/>
    </row>
    <row r="231" spans="1:32" outlineLevel="2" x14ac:dyDescent="0.2">
      <c r="A231" s="391">
        <f t="shared" si="31"/>
        <v>229</v>
      </c>
      <c r="B231" s="422" t="s">
        <v>420</v>
      </c>
      <c r="C231" s="393" t="s">
        <v>644</v>
      </c>
      <c r="D231" s="393">
        <v>4197</v>
      </c>
      <c r="E231" s="393">
        <v>6121</v>
      </c>
      <c r="F231" s="402"/>
      <c r="G231" s="394" t="s">
        <v>645</v>
      </c>
      <c r="H231" s="423">
        <v>1999</v>
      </c>
      <c r="I231" s="393">
        <v>2020</v>
      </c>
      <c r="J231" s="420">
        <v>133665</v>
      </c>
      <c r="K231" s="420"/>
      <c r="L231" s="420">
        <v>26402</v>
      </c>
      <c r="M231" s="421">
        <v>28000</v>
      </c>
      <c r="N231" s="421">
        <v>2000</v>
      </c>
      <c r="O231" s="420">
        <v>726</v>
      </c>
      <c r="P231" s="399">
        <f t="shared" si="32"/>
        <v>0.36299999999999999</v>
      </c>
      <c r="Q231" s="421">
        <v>40000</v>
      </c>
      <c r="R231" s="400">
        <v>39263</v>
      </c>
      <c r="S231" s="401">
        <v>26000</v>
      </c>
      <c r="T231" s="402" t="s">
        <v>423</v>
      </c>
      <c r="U231" s="403"/>
      <c r="V231" s="404">
        <f t="shared" si="34"/>
        <v>0</v>
      </c>
      <c r="W231" s="405" t="str">
        <f>IF(AND(P231&lt;[3]koment!$F$1,N231&gt;=[3]koment!$F$2),"Komentovat","")</f>
        <v>Komentovat</v>
      </c>
      <c r="X231" s="406">
        <f>IF(W231="Komentovat",X229+1,X229)</f>
        <v>21</v>
      </c>
      <c r="Y231" s="404" t="str">
        <f t="shared" si="35"/>
        <v xml:space="preserve"> </v>
      </c>
      <c r="Z231" s="407">
        <f t="shared" si="36"/>
        <v>0</v>
      </c>
      <c r="AA231" s="408" t="str">
        <f t="shared" si="37"/>
        <v>5600233341976121</v>
      </c>
      <c r="AB231" s="388"/>
      <c r="AC231" s="409">
        <f t="shared" si="30"/>
        <v>0</v>
      </c>
      <c r="AD231" s="388"/>
      <c r="AE231" s="388"/>
      <c r="AF231" s="388"/>
    </row>
    <row r="232" spans="1:32" outlineLevel="1" x14ac:dyDescent="0.2">
      <c r="A232" s="391">
        <f t="shared" si="31"/>
        <v>230</v>
      </c>
      <c r="B232" s="422"/>
      <c r="C232" s="424" t="s">
        <v>646</v>
      </c>
      <c r="D232" s="393"/>
      <c r="E232" s="393"/>
      <c r="F232" s="402"/>
      <c r="G232" s="394"/>
      <c r="H232" s="423"/>
      <c r="I232" s="393"/>
      <c r="J232" s="420">
        <f t="shared" ref="J232:O232" si="40">SUBTOTAL(9,J231:J231)</f>
        <v>133665</v>
      </c>
      <c r="K232" s="420">
        <f t="shared" si="40"/>
        <v>0</v>
      </c>
      <c r="L232" s="420">
        <f t="shared" si="40"/>
        <v>26402</v>
      </c>
      <c r="M232" s="421">
        <f t="shared" si="40"/>
        <v>28000</v>
      </c>
      <c r="N232" s="421">
        <f t="shared" si="40"/>
        <v>2000</v>
      </c>
      <c r="O232" s="420">
        <f t="shared" si="40"/>
        <v>726</v>
      </c>
      <c r="P232" s="399">
        <f t="shared" si="32"/>
        <v>0.36299999999999999</v>
      </c>
      <c r="Q232" s="421">
        <f>SUBTOTAL(9,Q231:Q231)</f>
        <v>40000</v>
      </c>
      <c r="R232" s="400">
        <f>SUBTOTAL(9,R231:R231)</f>
        <v>39263</v>
      </c>
      <c r="S232" s="401">
        <f>SUBTOTAL(9,S231:S231)</f>
        <v>26000</v>
      </c>
      <c r="T232" s="402"/>
      <c r="U232" s="403"/>
      <c r="V232" s="404"/>
      <c r="W232" s="405"/>
      <c r="X232" s="406"/>
      <c r="Y232" s="404" t="str">
        <f>IF($V232=0," ",IF(LEN($B232)=4,$B232*1,$B232))</f>
        <v xml:space="preserve"> </v>
      </c>
      <c r="Z232" s="407">
        <f>IF($Y232=" ",0,"ORG "&amp;$D232&amp;" - "&amp;$G232)</f>
        <v>0</v>
      </c>
      <c r="AA232" s="408" t="str">
        <f>$B232&amp;LEFT($C232,4)&amp;$D232&amp;$E232&amp;$F232</f>
        <v>Celk</v>
      </c>
      <c r="AB232" s="388"/>
      <c r="AC232" s="409"/>
      <c r="AD232" s="388"/>
      <c r="AE232" s="388"/>
      <c r="AF232" s="388"/>
    </row>
    <row r="233" spans="1:32" outlineLevel="2" x14ac:dyDescent="0.2">
      <c r="A233" s="391">
        <f t="shared" si="31"/>
        <v>231</v>
      </c>
      <c r="B233" s="422" t="s">
        <v>420</v>
      </c>
      <c r="C233" s="393" t="s">
        <v>647</v>
      </c>
      <c r="D233" s="393">
        <v>2900</v>
      </c>
      <c r="E233" s="393">
        <v>6121</v>
      </c>
      <c r="F233" s="402">
        <v>41</v>
      </c>
      <c r="G233" s="394" t="s">
        <v>648</v>
      </c>
      <c r="H233" s="393">
        <v>2013</v>
      </c>
      <c r="I233" s="393">
        <v>2017</v>
      </c>
      <c r="J233" s="420">
        <v>15000</v>
      </c>
      <c r="K233" s="420"/>
      <c r="L233" s="420">
        <v>8914</v>
      </c>
      <c r="M233" s="421">
        <v>4500</v>
      </c>
      <c r="N233" s="421">
        <v>2000</v>
      </c>
      <c r="O233" s="420">
        <v>1971</v>
      </c>
      <c r="P233" s="399">
        <f t="shared" si="32"/>
        <v>0.98550000000000004</v>
      </c>
      <c r="Q233" s="421">
        <v>2800</v>
      </c>
      <c r="R233" s="400">
        <v>1286</v>
      </c>
      <c r="S233" s="401"/>
      <c r="T233" s="402" t="s">
        <v>423</v>
      </c>
      <c r="U233" s="403"/>
      <c r="V233" s="404">
        <f t="shared" si="34"/>
        <v>0</v>
      </c>
      <c r="W233" s="405" t="str">
        <f>IF(AND(P233&lt;[3]koment!$F$1,N233&gt;=[3]koment!$F$2),"Komentovat","")</f>
        <v/>
      </c>
      <c r="X233" s="406">
        <f>IF(W233="Komentovat",X231+1,X231)</f>
        <v>21</v>
      </c>
      <c r="Y233" s="404" t="str">
        <f t="shared" si="35"/>
        <v xml:space="preserve"> </v>
      </c>
      <c r="Z233" s="407">
        <f t="shared" si="36"/>
        <v>0</v>
      </c>
      <c r="AA233" s="408" t="str">
        <f t="shared" si="37"/>
        <v>560023392900612141</v>
      </c>
      <c r="AB233" s="388"/>
      <c r="AC233" s="409">
        <f t="shared" si="30"/>
        <v>0</v>
      </c>
      <c r="AD233" s="388"/>
      <c r="AE233" s="388"/>
      <c r="AF233" s="388"/>
    </row>
    <row r="234" spans="1:32" outlineLevel="1" x14ac:dyDescent="0.2">
      <c r="A234" s="391">
        <f t="shared" si="31"/>
        <v>232</v>
      </c>
      <c r="B234" s="422"/>
      <c r="C234" s="424" t="s">
        <v>649</v>
      </c>
      <c r="D234" s="393"/>
      <c r="E234" s="393"/>
      <c r="F234" s="402"/>
      <c r="G234" s="394"/>
      <c r="H234" s="393"/>
      <c r="I234" s="393"/>
      <c r="J234" s="420">
        <f t="shared" ref="J234:O234" si="41">SUBTOTAL(9,J233:J233)</f>
        <v>15000</v>
      </c>
      <c r="K234" s="420">
        <f t="shared" si="41"/>
        <v>0</v>
      </c>
      <c r="L234" s="420">
        <f t="shared" si="41"/>
        <v>8914</v>
      </c>
      <c r="M234" s="421">
        <f t="shared" si="41"/>
        <v>4500</v>
      </c>
      <c r="N234" s="421">
        <f t="shared" si="41"/>
        <v>2000</v>
      </c>
      <c r="O234" s="420">
        <f t="shared" si="41"/>
        <v>1971</v>
      </c>
      <c r="P234" s="399">
        <f t="shared" si="32"/>
        <v>0.98550000000000004</v>
      </c>
      <c r="Q234" s="421">
        <f>SUBTOTAL(9,Q233:Q233)</f>
        <v>2800</v>
      </c>
      <c r="R234" s="400">
        <f>SUBTOTAL(9,R233:R233)</f>
        <v>1286</v>
      </c>
      <c r="S234" s="401">
        <f>SUBTOTAL(9,S233:S233)</f>
        <v>0</v>
      </c>
      <c r="T234" s="402"/>
      <c r="U234" s="403"/>
      <c r="V234" s="404"/>
      <c r="W234" s="405"/>
      <c r="X234" s="406"/>
      <c r="Y234" s="404" t="str">
        <f>IF($V234=0," ",IF(LEN($B234)=4,$B234*1,$B234))</f>
        <v xml:space="preserve"> </v>
      </c>
      <c r="Z234" s="407">
        <f>IF($Y234=" ",0,"ORG "&amp;$D234&amp;" - "&amp;$G234)</f>
        <v>0</v>
      </c>
      <c r="AA234" s="408" t="str">
        <f>$B234&amp;LEFT($C234,4)&amp;$D234&amp;$E234&amp;$F234</f>
        <v>Celk</v>
      </c>
      <c r="AB234" s="388"/>
      <c r="AC234" s="409"/>
      <c r="AD234" s="388"/>
      <c r="AE234" s="388"/>
      <c r="AF234" s="388"/>
    </row>
    <row r="235" spans="1:32" outlineLevel="2" x14ac:dyDescent="0.2">
      <c r="A235" s="391">
        <f t="shared" si="31"/>
        <v>233</v>
      </c>
      <c r="B235" s="422" t="s">
        <v>420</v>
      </c>
      <c r="C235" s="393" t="s">
        <v>650</v>
      </c>
      <c r="D235" s="393">
        <v>5154</v>
      </c>
      <c r="E235" s="393">
        <v>6121</v>
      </c>
      <c r="F235" s="427" t="s">
        <v>490</v>
      </c>
      <c r="G235" s="394" t="s">
        <v>651</v>
      </c>
      <c r="H235" s="393">
        <v>2012</v>
      </c>
      <c r="I235" s="393">
        <v>2016</v>
      </c>
      <c r="J235" s="420">
        <v>7300</v>
      </c>
      <c r="K235" s="420">
        <v>2274</v>
      </c>
      <c r="L235" s="420">
        <v>4511</v>
      </c>
      <c r="M235" s="421">
        <v>30</v>
      </c>
      <c r="N235" s="421">
        <v>30</v>
      </c>
      <c r="O235" s="420">
        <v>6</v>
      </c>
      <c r="P235" s="399">
        <f t="shared" si="32"/>
        <v>0.2</v>
      </c>
      <c r="Q235" s="421"/>
      <c r="R235" s="400"/>
      <c r="S235" s="401"/>
      <c r="T235" s="402" t="s">
        <v>423</v>
      </c>
      <c r="U235" s="403"/>
      <c r="V235" s="404">
        <f t="shared" si="34"/>
        <v>2759</v>
      </c>
      <c r="W235" s="405" t="str">
        <f>IF(AND(P235&lt;[3]koment!$F$1,N235&gt;=[3]koment!$F$2),"Komentovat","")</f>
        <v/>
      </c>
      <c r="X235" s="406">
        <f>IF(W235="Komentovat",X233+1,X233)</f>
        <v>21</v>
      </c>
      <c r="Y235" s="404">
        <f t="shared" si="35"/>
        <v>5600</v>
      </c>
      <c r="Z235" s="407" t="str">
        <f t="shared" si="36"/>
        <v>ORG 5154 - Zateplení MŠ Hněvkovského</v>
      </c>
      <c r="AA235" s="408" t="str">
        <f t="shared" si="37"/>
        <v>5600311151546121EU</v>
      </c>
      <c r="AB235" s="388"/>
      <c r="AC235" s="409">
        <f t="shared" si="30"/>
        <v>2759</v>
      </c>
      <c r="AD235" s="388"/>
      <c r="AE235" s="388"/>
      <c r="AF235" s="388"/>
    </row>
    <row r="236" spans="1:32" outlineLevel="2" x14ac:dyDescent="0.2">
      <c r="A236" s="391">
        <f t="shared" si="31"/>
        <v>234</v>
      </c>
      <c r="B236" s="422" t="s">
        <v>420</v>
      </c>
      <c r="C236" s="393" t="s">
        <v>650</v>
      </c>
      <c r="D236" s="393">
        <v>5190</v>
      </c>
      <c r="E236" s="393">
        <v>6121</v>
      </c>
      <c r="F236" s="427" t="s">
        <v>490</v>
      </c>
      <c r="G236" s="394" t="s">
        <v>652</v>
      </c>
      <c r="H236" s="393">
        <v>2014</v>
      </c>
      <c r="I236" s="393">
        <v>2016</v>
      </c>
      <c r="J236" s="420">
        <v>7591</v>
      </c>
      <c r="K236" s="420">
        <v>3483</v>
      </c>
      <c r="L236" s="420">
        <v>5736</v>
      </c>
      <c r="M236" s="421">
        <v>30</v>
      </c>
      <c r="N236" s="421">
        <v>30</v>
      </c>
      <c r="O236" s="420">
        <v>30</v>
      </c>
      <c r="P236" s="399">
        <f t="shared" si="32"/>
        <v>1</v>
      </c>
      <c r="Q236" s="421"/>
      <c r="R236" s="400"/>
      <c r="S236" s="401"/>
      <c r="T236" s="402" t="s">
        <v>423</v>
      </c>
      <c r="U236" s="403"/>
      <c r="V236" s="404">
        <f t="shared" si="34"/>
        <v>1825</v>
      </c>
      <c r="W236" s="405" t="str">
        <f>IF(AND(P236&lt;[3]koment!$F$1,N236&gt;=[3]koment!$F$2),"Komentovat","")</f>
        <v/>
      </c>
      <c r="X236" s="406">
        <f t="shared" si="33"/>
        <v>21</v>
      </c>
      <c r="Y236" s="404">
        <f t="shared" si="35"/>
        <v>5600</v>
      </c>
      <c r="Z236" s="407" t="str">
        <f t="shared" si="36"/>
        <v>ORG 5190 - Stavební úpravy mateřské školy Řezáčova</v>
      </c>
      <c r="AA236" s="408" t="str">
        <f t="shared" si="37"/>
        <v>5600311151906121EU</v>
      </c>
      <c r="AB236" s="388"/>
      <c r="AC236" s="409">
        <f t="shared" si="30"/>
        <v>1825</v>
      </c>
      <c r="AD236" s="388"/>
      <c r="AE236" s="388"/>
      <c r="AF236" s="388"/>
    </row>
    <row r="237" spans="1:32" outlineLevel="2" x14ac:dyDescent="0.2">
      <c r="A237" s="391">
        <f t="shared" si="31"/>
        <v>235</v>
      </c>
      <c r="B237" s="422" t="s">
        <v>420</v>
      </c>
      <c r="C237" s="393" t="s">
        <v>650</v>
      </c>
      <c r="D237" s="393">
        <v>5191</v>
      </c>
      <c r="E237" s="393">
        <v>6121</v>
      </c>
      <c r="F237" s="427" t="s">
        <v>490</v>
      </c>
      <c r="G237" s="394" t="s">
        <v>653</v>
      </c>
      <c r="H237" s="393">
        <v>2014</v>
      </c>
      <c r="I237" s="393">
        <v>2016</v>
      </c>
      <c r="J237" s="420">
        <v>7202</v>
      </c>
      <c r="K237" s="420">
        <v>2289</v>
      </c>
      <c r="L237" s="420">
        <v>4917</v>
      </c>
      <c r="M237" s="421"/>
      <c r="N237" s="421">
        <v>11</v>
      </c>
      <c r="O237" s="420">
        <v>10</v>
      </c>
      <c r="P237" s="399">
        <f t="shared" si="32"/>
        <v>0.90909090909090906</v>
      </c>
      <c r="Q237" s="421"/>
      <c r="R237" s="400"/>
      <c r="S237" s="401"/>
      <c r="T237" s="402" t="s">
        <v>423</v>
      </c>
      <c r="U237" s="403"/>
      <c r="V237" s="404">
        <f t="shared" si="34"/>
        <v>2274</v>
      </c>
      <c r="W237" s="405" t="str">
        <f>IF(AND(P237&lt;[3]koment!$F$1,N237&gt;=[3]koment!$F$2),"Komentovat","")</f>
        <v/>
      </c>
      <c r="X237" s="406">
        <f t="shared" si="33"/>
        <v>21</v>
      </c>
      <c r="Y237" s="404">
        <f t="shared" si="35"/>
        <v>5600</v>
      </c>
      <c r="Z237" s="407" t="str">
        <f t="shared" si="36"/>
        <v>ORG 5191 - MŠ Kohoutova 6 - zateplení budovy a výměna oken</v>
      </c>
      <c r="AA237" s="408" t="str">
        <f t="shared" si="37"/>
        <v>5600311151916121EU</v>
      </c>
      <c r="AB237" s="388"/>
      <c r="AC237" s="409">
        <f t="shared" si="30"/>
        <v>2274</v>
      </c>
      <c r="AD237" s="388"/>
      <c r="AE237" s="388"/>
      <c r="AF237" s="388"/>
    </row>
    <row r="238" spans="1:32" outlineLevel="2" x14ac:dyDescent="0.2">
      <c r="A238" s="391">
        <f t="shared" si="31"/>
        <v>236</v>
      </c>
      <c r="B238" s="392" t="s">
        <v>420</v>
      </c>
      <c r="C238" s="393" t="s">
        <v>650</v>
      </c>
      <c r="D238" s="394">
        <v>5211</v>
      </c>
      <c r="E238" s="393">
        <v>6121</v>
      </c>
      <c r="F238" s="448" t="s">
        <v>490</v>
      </c>
      <c r="G238" s="394" t="s">
        <v>654</v>
      </c>
      <c r="H238" s="394">
        <v>2015</v>
      </c>
      <c r="I238" s="394">
        <v>2016</v>
      </c>
      <c r="J238" s="396">
        <v>18141</v>
      </c>
      <c r="K238" s="396">
        <v>6805</v>
      </c>
      <c r="L238" s="397">
        <v>15010</v>
      </c>
      <c r="M238" s="398">
        <v>1700</v>
      </c>
      <c r="N238" s="398">
        <v>100</v>
      </c>
      <c r="O238" s="396">
        <v>47</v>
      </c>
      <c r="P238" s="399">
        <f t="shared" si="32"/>
        <v>0.47</v>
      </c>
      <c r="Q238" s="398"/>
      <c r="R238" s="400"/>
      <c r="S238" s="401"/>
      <c r="T238" s="402" t="s">
        <v>423</v>
      </c>
      <c r="U238" s="403"/>
      <c r="V238" s="404">
        <f t="shared" si="34"/>
        <v>3031</v>
      </c>
      <c r="W238" s="405" t="str">
        <f>IF(AND(P238&lt;[3]koment!$F$1,N238&gt;=[3]koment!$F$2),"Komentovat","")</f>
        <v/>
      </c>
      <c r="X238" s="406">
        <f t="shared" si="33"/>
        <v>21</v>
      </c>
      <c r="Y238" s="404">
        <f t="shared" si="35"/>
        <v>5600</v>
      </c>
      <c r="Z238" s="407" t="str">
        <f t="shared" si="36"/>
        <v>ORG 5211 - MŠ Tišnovská - zateplení budovy včetně výměny oken</v>
      </c>
      <c r="AA238" s="408" t="str">
        <f t="shared" si="37"/>
        <v>5600311152116121EU</v>
      </c>
      <c r="AB238" s="388"/>
      <c r="AC238" s="409">
        <f t="shared" si="30"/>
        <v>3031</v>
      </c>
      <c r="AD238" s="388"/>
      <c r="AE238" s="388"/>
      <c r="AF238" s="388"/>
    </row>
    <row r="239" spans="1:32" outlineLevel="2" x14ac:dyDescent="0.2">
      <c r="A239" s="391">
        <f t="shared" si="31"/>
        <v>237</v>
      </c>
      <c r="B239" s="392" t="s">
        <v>420</v>
      </c>
      <c r="C239" s="393" t="s">
        <v>650</v>
      </c>
      <c r="D239" s="394">
        <v>5212</v>
      </c>
      <c r="E239" s="393">
        <v>6121</v>
      </c>
      <c r="F239" s="448" t="s">
        <v>490</v>
      </c>
      <c r="G239" s="394" t="s">
        <v>655</v>
      </c>
      <c r="H239" s="394">
        <v>2015</v>
      </c>
      <c r="I239" s="394">
        <v>2016</v>
      </c>
      <c r="J239" s="396">
        <v>16965</v>
      </c>
      <c r="K239" s="396">
        <v>4555</v>
      </c>
      <c r="L239" s="397">
        <v>12126</v>
      </c>
      <c r="M239" s="398">
        <v>4000</v>
      </c>
      <c r="N239" s="398">
        <v>100</v>
      </c>
      <c r="O239" s="396">
        <v>29</v>
      </c>
      <c r="P239" s="399">
        <f t="shared" si="32"/>
        <v>0.28999999999999998</v>
      </c>
      <c r="Q239" s="398"/>
      <c r="R239" s="400"/>
      <c r="S239" s="401"/>
      <c r="T239" s="402" t="s">
        <v>423</v>
      </c>
      <c r="U239" s="403"/>
      <c r="V239" s="404">
        <f t="shared" si="34"/>
        <v>4739</v>
      </c>
      <c r="W239" s="405" t="str">
        <f>IF(AND(P239&lt;[3]koment!$F$1,N239&gt;=[3]koment!$F$2),"Komentovat","")</f>
        <v/>
      </c>
      <c r="X239" s="406">
        <f t="shared" si="33"/>
        <v>21</v>
      </c>
      <c r="Y239" s="404">
        <f t="shared" si="35"/>
        <v>5600</v>
      </c>
      <c r="Z239" s="407" t="str">
        <f t="shared" si="36"/>
        <v>ORG 5212 - MŠ Šrámkova - zateplení budovy včetně výměny oken</v>
      </c>
      <c r="AA239" s="408" t="str">
        <f t="shared" si="37"/>
        <v>5600311152126121EU</v>
      </c>
      <c r="AB239" s="388"/>
      <c r="AC239" s="409">
        <f t="shared" si="30"/>
        <v>4739</v>
      </c>
      <c r="AD239" s="388"/>
      <c r="AE239" s="388"/>
      <c r="AF239" s="388"/>
    </row>
    <row r="240" spans="1:32" outlineLevel="2" x14ac:dyDescent="0.2">
      <c r="A240" s="391">
        <f t="shared" si="31"/>
        <v>238</v>
      </c>
      <c r="B240" s="392" t="s">
        <v>420</v>
      </c>
      <c r="C240" s="393" t="s">
        <v>656</v>
      </c>
      <c r="D240" s="394">
        <v>5301</v>
      </c>
      <c r="E240" s="393">
        <v>6121</v>
      </c>
      <c r="F240" s="448" t="s">
        <v>490</v>
      </c>
      <c r="G240" s="394" t="s">
        <v>657</v>
      </c>
      <c r="H240" s="394">
        <v>2015</v>
      </c>
      <c r="I240" s="394">
        <v>2017</v>
      </c>
      <c r="J240" s="396">
        <v>81042</v>
      </c>
      <c r="K240" s="396">
        <v>68425</v>
      </c>
      <c r="L240" s="397">
        <v>352</v>
      </c>
      <c r="M240" s="398">
        <v>20000</v>
      </c>
      <c r="N240" s="398">
        <v>10000</v>
      </c>
      <c r="O240" s="396">
        <v>9590</v>
      </c>
      <c r="P240" s="399">
        <f t="shared" si="32"/>
        <v>0.95899999999999996</v>
      </c>
      <c r="Q240" s="398">
        <v>30000</v>
      </c>
      <c r="R240" s="400"/>
      <c r="S240" s="401"/>
      <c r="T240" s="402" t="s">
        <v>423</v>
      </c>
      <c r="U240" s="403"/>
      <c r="V240" s="404">
        <f t="shared" si="34"/>
        <v>40690</v>
      </c>
      <c r="W240" s="405" t="str">
        <f>IF(AND(P240&lt;[3]koment!$F$1,N240&gt;=[3]koment!$F$2),"Komentovat","")</f>
        <v/>
      </c>
      <c r="X240" s="406">
        <f t="shared" si="33"/>
        <v>21</v>
      </c>
      <c r="Y240" s="404">
        <f t="shared" si="35"/>
        <v>5600</v>
      </c>
      <c r="Z240" s="407" t="str">
        <f t="shared" si="36"/>
        <v>ORG 5301 - MŠ Kamechy II - výstavba šestitřídní MŠ</v>
      </c>
      <c r="AA240" s="408" t="str">
        <f t="shared" si="37"/>
        <v>5600311153016121EU</v>
      </c>
      <c r="AB240" s="388"/>
      <c r="AC240" s="409">
        <f t="shared" si="30"/>
        <v>40690</v>
      </c>
      <c r="AD240" s="388"/>
      <c r="AE240" s="388"/>
      <c r="AF240" s="388"/>
    </row>
    <row r="241" spans="1:32" outlineLevel="2" x14ac:dyDescent="0.2">
      <c r="A241" s="391">
        <f t="shared" si="31"/>
        <v>239</v>
      </c>
      <c r="B241" s="392" t="s">
        <v>420</v>
      </c>
      <c r="C241" s="393" t="s">
        <v>650</v>
      </c>
      <c r="D241" s="394">
        <v>5303</v>
      </c>
      <c r="E241" s="393">
        <v>6121</v>
      </c>
      <c r="F241" s="448" t="s">
        <v>490</v>
      </c>
      <c r="G241" s="394" t="s">
        <v>658</v>
      </c>
      <c r="H241" s="394">
        <v>2016</v>
      </c>
      <c r="I241" s="394">
        <v>2017</v>
      </c>
      <c r="J241" s="396">
        <v>7248</v>
      </c>
      <c r="K241" s="396"/>
      <c r="L241" s="397"/>
      <c r="M241" s="398"/>
      <c r="N241" s="398">
        <v>500</v>
      </c>
      <c r="O241" s="396"/>
      <c r="P241" s="399">
        <f t="shared" si="32"/>
        <v>0</v>
      </c>
      <c r="Q241" s="398">
        <v>2000</v>
      </c>
      <c r="R241" s="400"/>
      <c r="S241" s="401"/>
      <c r="T241" s="402" t="s">
        <v>423</v>
      </c>
      <c r="U241" s="403"/>
      <c r="V241" s="404">
        <f t="shared" si="34"/>
        <v>4748</v>
      </c>
      <c r="W241" s="405" t="str">
        <f>IF(AND(P241&lt;[3]koment!$F$1,N241&gt;=[3]koment!$F$2),"Komentovat","")</f>
        <v/>
      </c>
      <c r="X241" s="406">
        <f t="shared" si="33"/>
        <v>21</v>
      </c>
      <c r="Y241" s="404">
        <f t="shared" si="35"/>
        <v>5600</v>
      </c>
      <c r="Z241" s="407" t="str">
        <f t="shared" si="36"/>
        <v>ORG 5303 - Mateřská škola Přemyslovo náměstí 1 - 2. etapa</v>
      </c>
      <c r="AA241" s="408" t="str">
        <f t="shared" si="37"/>
        <v>5600311153036121EU</v>
      </c>
      <c r="AB241" s="388"/>
      <c r="AC241" s="409">
        <f t="shared" si="30"/>
        <v>4748</v>
      </c>
      <c r="AD241" s="388"/>
      <c r="AE241" s="388"/>
      <c r="AF241" s="388"/>
    </row>
    <row r="242" spans="1:32" outlineLevel="2" x14ac:dyDescent="0.2">
      <c r="A242" s="391">
        <f t="shared" si="31"/>
        <v>240</v>
      </c>
      <c r="B242" s="392" t="s">
        <v>420</v>
      </c>
      <c r="C242" s="393" t="s">
        <v>650</v>
      </c>
      <c r="D242" s="394">
        <v>5305</v>
      </c>
      <c r="E242" s="393">
        <v>6121</v>
      </c>
      <c r="F242" s="448" t="s">
        <v>490</v>
      </c>
      <c r="G242" s="394" t="s">
        <v>659</v>
      </c>
      <c r="H242" s="394">
        <v>2016</v>
      </c>
      <c r="I242" s="394">
        <v>2017</v>
      </c>
      <c r="J242" s="396">
        <v>16823</v>
      </c>
      <c r="K242" s="396"/>
      <c r="L242" s="397"/>
      <c r="M242" s="398"/>
      <c r="N242" s="398">
        <v>500</v>
      </c>
      <c r="O242" s="396">
        <v>1</v>
      </c>
      <c r="P242" s="399">
        <f t="shared" si="32"/>
        <v>2E-3</v>
      </c>
      <c r="Q242" s="398">
        <v>5000</v>
      </c>
      <c r="R242" s="400"/>
      <c r="S242" s="401"/>
      <c r="T242" s="402" t="s">
        <v>423</v>
      </c>
      <c r="U242" s="403"/>
      <c r="V242" s="404">
        <f t="shared" si="34"/>
        <v>11323</v>
      </c>
      <c r="W242" s="405" t="str">
        <f>IF(AND(P242&lt;[3]koment!$F$1,N242&gt;=[3]koment!$F$2),"Komentovat","")</f>
        <v/>
      </c>
      <c r="X242" s="406">
        <f t="shared" si="33"/>
        <v>21</v>
      </c>
      <c r="Y242" s="404">
        <f t="shared" si="35"/>
        <v>5600</v>
      </c>
      <c r="Z242" s="407" t="str">
        <f t="shared" si="36"/>
        <v>ORG 5305 - Mateřská škola Žabka, objekt Kohoutovická, Brno-Žebětín</v>
      </c>
      <c r="AA242" s="408" t="str">
        <f t="shared" si="37"/>
        <v>5600311153056121EU</v>
      </c>
      <c r="AB242" s="388"/>
      <c r="AC242" s="409">
        <f t="shared" si="30"/>
        <v>11323</v>
      </c>
      <c r="AD242" s="388"/>
      <c r="AE242" s="388"/>
      <c r="AF242" s="388"/>
    </row>
    <row r="243" spans="1:32" outlineLevel="2" x14ac:dyDescent="0.2">
      <c r="A243" s="391">
        <f t="shared" si="31"/>
        <v>241</v>
      </c>
      <c r="B243" s="392" t="s">
        <v>420</v>
      </c>
      <c r="C243" s="393" t="s">
        <v>650</v>
      </c>
      <c r="D243" s="394">
        <v>5313</v>
      </c>
      <c r="E243" s="393">
        <v>6121</v>
      </c>
      <c r="F243" s="448" t="s">
        <v>490</v>
      </c>
      <c r="G243" s="394" t="s">
        <v>660</v>
      </c>
      <c r="H243" s="394">
        <v>2016</v>
      </c>
      <c r="I243" s="394">
        <v>2017</v>
      </c>
      <c r="J243" s="396">
        <v>9129</v>
      </c>
      <c r="K243" s="396"/>
      <c r="L243" s="397"/>
      <c r="M243" s="398"/>
      <c r="N243" s="398">
        <v>500</v>
      </c>
      <c r="O243" s="396"/>
      <c r="P243" s="399">
        <f t="shared" si="32"/>
        <v>0</v>
      </c>
      <c r="Q243" s="398">
        <v>2000</v>
      </c>
      <c r="R243" s="400"/>
      <c r="S243" s="401"/>
      <c r="T243" s="402" t="s">
        <v>423</v>
      </c>
      <c r="U243" s="403"/>
      <c r="V243" s="404">
        <f t="shared" si="34"/>
        <v>6629</v>
      </c>
      <c r="W243" s="405" t="str">
        <f>IF(AND(P243&lt;[3]koment!$F$1,N243&gt;=[3]koment!$F$2),"Komentovat","")</f>
        <v/>
      </c>
      <c r="X243" s="406">
        <f t="shared" si="33"/>
        <v>21</v>
      </c>
      <c r="Y243" s="404">
        <f t="shared" si="35"/>
        <v>5600</v>
      </c>
      <c r="Z243" s="407" t="str">
        <f t="shared" si="36"/>
        <v>ORG 5313 - Mateřská škola Pastviny 70 - rozšíření</v>
      </c>
      <c r="AA243" s="408" t="str">
        <f t="shared" si="37"/>
        <v>5600311153136121EU</v>
      </c>
      <c r="AB243" s="388"/>
      <c r="AC243" s="409">
        <f t="shared" si="30"/>
        <v>6629</v>
      </c>
      <c r="AD243" s="388"/>
      <c r="AE243" s="388"/>
      <c r="AF243" s="388"/>
    </row>
    <row r="244" spans="1:32" outlineLevel="2" x14ac:dyDescent="0.2">
      <c r="A244" s="391">
        <f t="shared" si="31"/>
        <v>242</v>
      </c>
      <c r="B244" s="392" t="s">
        <v>420</v>
      </c>
      <c r="C244" s="393" t="s">
        <v>650</v>
      </c>
      <c r="D244" s="394">
        <v>5333</v>
      </c>
      <c r="E244" s="393">
        <v>6121</v>
      </c>
      <c r="F244" s="448" t="s">
        <v>490</v>
      </c>
      <c r="G244" s="394" t="s">
        <v>661</v>
      </c>
      <c r="H244" s="394">
        <v>2016</v>
      </c>
      <c r="I244" s="394">
        <v>2017</v>
      </c>
      <c r="J244" s="396">
        <v>7129</v>
      </c>
      <c r="K244" s="396"/>
      <c r="L244" s="397"/>
      <c r="M244" s="398"/>
      <c r="N244" s="398">
        <v>100</v>
      </c>
      <c r="O244" s="396"/>
      <c r="P244" s="399">
        <f t="shared" si="32"/>
        <v>0</v>
      </c>
      <c r="Q244" s="398">
        <v>2000</v>
      </c>
      <c r="R244" s="400"/>
      <c r="S244" s="401"/>
      <c r="T244" s="402" t="s">
        <v>423</v>
      </c>
      <c r="U244" s="403"/>
      <c r="V244" s="404">
        <f t="shared" si="34"/>
        <v>5029</v>
      </c>
      <c r="W244" s="405" t="str">
        <f>IF(AND(P244&lt;[3]koment!$F$1,N244&gt;=[3]koment!$F$2),"Komentovat","")</f>
        <v/>
      </c>
      <c r="X244" s="406">
        <f t="shared" si="33"/>
        <v>21</v>
      </c>
      <c r="Y244" s="404">
        <f t="shared" si="35"/>
        <v>5600</v>
      </c>
      <c r="Z244" s="407" t="str">
        <f t="shared" si="36"/>
        <v>ORG 5333 - Stavební úpravy MŠ Nejedlého</v>
      </c>
      <c r="AA244" s="408" t="str">
        <f t="shared" si="37"/>
        <v>5600311153336121EU</v>
      </c>
      <c r="AB244" s="388"/>
      <c r="AC244" s="409">
        <f t="shared" si="30"/>
        <v>5029</v>
      </c>
      <c r="AD244" s="388"/>
      <c r="AE244" s="388"/>
      <c r="AF244" s="388"/>
    </row>
    <row r="245" spans="1:32" outlineLevel="2" x14ac:dyDescent="0.2">
      <c r="A245" s="391">
        <f t="shared" si="31"/>
        <v>243</v>
      </c>
      <c r="B245" s="392" t="s">
        <v>420</v>
      </c>
      <c r="C245" s="393" t="s">
        <v>650</v>
      </c>
      <c r="D245" s="394">
        <v>5334</v>
      </c>
      <c r="E245" s="393">
        <v>6121</v>
      </c>
      <c r="F245" s="448" t="s">
        <v>490</v>
      </c>
      <c r="G245" s="394" t="s">
        <v>662</v>
      </c>
      <c r="H245" s="394">
        <v>2016</v>
      </c>
      <c r="I245" s="394">
        <v>2017</v>
      </c>
      <c r="J245" s="396">
        <v>6780</v>
      </c>
      <c r="K245" s="396"/>
      <c r="L245" s="397"/>
      <c r="M245" s="398"/>
      <c r="N245" s="398">
        <v>100</v>
      </c>
      <c r="O245" s="396"/>
      <c r="P245" s="399">
        <f t="shared" si="32"/>
        <v>0</v>
      </c>
      <c r="Q245" s="398">
        <v>2000</v>
      </c>
      <c r="R245" s="400"/>
      <c r="S245" s="401"/>
      <c r="T245" s="402" t="s">
        <v>423</v>
      </c>
      <c r="U245" s="403"/>
      <c r="V245" s="404">
        <f t="shared" si="34"/>
        <v>4680</v>
      </c>
      <c r="W245" s="405" t="str">
        <f>IF(AND(P245&lt;[3]koment!$F$1,N245&gt;=[3]koment!$F$2),"Komentovat","")</f>
        <v/>
      </c>
      <c r="X245" s="406">
        <f t="shared" si="33"/>
        <v>21</v>
      </c>
      <c r="Y245" s="404">
        <f t="shared" si="35"/>
        <v>5600</v>
      </c>
      <c r="Z245" s="407" t="str">
        <f t="shared" si="36"/>
        <v>ORG 5334 - Stavební úpravy MŠ Černopolní</v>
      </c>
      <c r="AA245" s="408" t="str">
        <f t="shared" si="37"/>
        <v>5600311153346121EU</v>
      </c>
      <c r="AB245" s="388"/>
      <c r="AC245" s="409">
        <f t="shared" si="30"/>
        <v>4680</v>
      </c>
      <c r="AD245" s="388"/>
      <c r="AE245" s="388"/>
      <c r="AF245" s="388"/>
    </row>
    <row r="246" spans="1:32" outlineLevel="1" x14ac:dyDescent="0.2">
      <c r="A246" s="391">
        <f t="shared" si="31"/>
        <v>244</v>
      </c>
      <c r="B246" s="392"/>
      <c r="C246" s="424" t="s">
        <v>663</v>
      </c>
      <c r="D246" s="394"/>
      <c r="E246" s="393"/>
      <c r="F246" s="448"/>
      <c r="G246" s="394"/>
      <c r="H246" s="394"/>
      <c r="I246" s="394"/>
      <c r="J246" s="396">
        <f t="shared" ref="J246:O246" si="42">SUBTOTAL(9,J235:J245)</f>
        <v>185350</v>
      </c>
      <c r="K246" s="396">
        <f t="shared" si="42"/>
        <v>87831</v>
      </c>
      <c r="L246" s="397">
        <f t="shared" si="42"/>
        <v>42652</v>
      </c>
      <c r="M246" s="398">
        <f t="shared" si="42"/>
        <v>25760</v>
      </c>
      <c r="N246" s="398">
        <f t="shared" si="42"/>
        <v>11971</v>
      </c>
      <c r="O246" s="396">
        <f t="shared" si="42"/>
        <v>9713</v>
      </c>
      <c r="P246" s="399">
        <f t="shared" si="32"/>
        <v>0.81137749561440142</v>
      </c>
      <c r="Q246" s="398">
        <f>SUBTOTAL(9,Q235:Q245)</f>
        <v>43000</v>
      </c>
      <c r="R246" s="400">
        <f>SUBTOTAL(9,R235:R245)</f>
        <v>0</v>
      </c>
      <c r="S246" s="401">
        <f>SUBTOTAL(9,S235:S245)</f>
        <v>0</v>
      </c>
      <c r="T246" s="402"/>
      <c r="U246" s="403"/>
      <c r="V246" s="404"/>
      <c r="W246" s="405"/>
      <c r="X246" s="406"/>
      <c r="Y246" s="404" t="str">
        <f>IF($V246=0," ",IF(LEN($B246)=4,$B246*1,$B246))</f>
        <v xml:space="preserve"> </v>
      </c>
      <c r="Z246" s="407">
        <f>IF($Y246=" ",0,"ORG "&amp;$D246&amp;" - "&amp;$G246)</f>
        <v>0</v>
      </c>
      <c r="AA246" s="408" t="str">
        <f>$B246&amp;LEFT($C246,4)&amp;$D246&amp;$E246&amp;$F246</f>
        <v>Celk</v>
      </c>
      <c r="AB246" s="388"/>
      <c r="AC246" s="409"/>
      <c r="AD246" s="388"/>
      <c r="AE246" s="388"/>
      <c r="AF246" s="388"/>
    </row>
    <row r="247" spans="1:32" outlineLevel="2" x14ac:dyDescent="0.2">
      <c r="A247" s="391">
        <f t="shared" si="31"/>
        <v>245</v>
      </c>
      <c r="B247" s="422" t="s">
        <v>420</v>
      </c>
      <c r="C247" s="393" t="s">
        <v>664</v>
      </c>
      <c r="D247" s="393">
        <v>5126</v>
      </c>
      <c r="E247" s="393">
        <v>6121</v>
      </c>
      <c r="F247" s="427" t="s">
        <v>490</v>
      </c>
      <c r="G247" s="394" t="s">
        <v>665</v>
      </c>
      <c r="H247" s="423">
        <v>2010</v>
      </c>
      <c r="I247" s="393">
        <v>2016</v>
      </c>
      <c r="J247" s="420">
        <v>15689</v>
      </c>
      <c r="K247" s="420">
        <v>14171</v>
      </c>
      <c r="L247" s="420">
        <v>14453</v>
      </c>
      <c r="M247" s="421"/>
      <c r="N247" s="421">
        <f>560+300</f>
        <v>860</v>
      </c>
      <c r="O247" s="420">
        <v>826</v>
      </c>
      <c r="P247" s="399">
        <f t="shared" si="32"/>
        <v>0.96046511627906972</v>
      </c>
      <c r="Q247" s="421"/>
      <c r="R247" s="400"/>
      <c r="S247" s="401"/>
      <c r="T247" s="402" t="s">
        <v>423</v>
      </c>
      <c r="U247" s="403"/>
      <c r="V247" s="404">
        <f t="shared" si="34"/>
        <v>376</v>
      </c>
      <c r="W247" s="405" t="str">
        <f>IF(AND(P247&lt;[3]koment!$F$1,N247&gt;=[3]koment!$F$2),"Komentovat","")</f>
        <v/>
      </c>
      <c r="X247" s="406">
        <f>IF(W247="Komentovat",X245+1,X245)</f>
        <v>21</v>
      </c>
      <c r="Y247" s="404">
        <f t="shared" si="35"/>
        <v>5600</v>
      </c>
      <c r="Z247" s="407" t="str">
        <f t="shared" si="36"/>
        <v>ORG 5126 - ZŠ Bosonožské nám. - pohybové prostory</v>
      </c>
      <c r="AA247" s="408" t="str">
        <f t="shared" si="37"/>
        <v>5600311351266121EU</v>
      </c>
      <c r="AB247" s="388"/>
      <c r="AC247" s="409">
        <f t="shared" si="30"/>
        <v>376</v>
      </c>
      <c r="AD247" s="388"/>
      <c r="AE247" s="388"/>
      <c r="AF247" s="388"/>
    </row>
    <row r="248" spans="1:32" outlineLevel="2" x14ac:dyDescent="0.2">
      <c r="A248" s="391">
        <f t="shared" si="31"/>
        <v>246</v>
      </c>
      <c r="B248" s="422" t="s">
        <v>420</v>
      </c>
      <c r="C248" s="393" t="s">
        <v>664</v>
      </c>
      <c r="D248" s="393">
        <v>5134</v>
      </c>
      <c r="E248" s="393">
        <v>6121</v>
      </c>
      <c r="F248" s="427" t="s">
        <v>490</v>
      </c>
      <c r="G248" s="394" t="s">
        <v>666</v>
      </c>
      <c r="H248" s="423">
        <v>2010</v>
      </c>
      <c r="I248" s="393">
        <v>2016</v>
      </c>
      <c r="J248" s="420">
        <v>14120</v>
      </c>
      <c r="K248" s="420">
        <v>9994</v>
      </c>
      <c r="L248" s="420">
        <v>8803</v>
      </c>
      <c r="M248" s="421"/>
      <c r="N248" s="421">
        <v>10</v>
      </c>
      <c r="O248" s="420">
        <v>10</v>
      </c>
      <c r="P248" s="399">
        <f t="shared" si="32"/>
        <v>1</v>
      </c>
      <c r="Q248" s="421"/>
      <c r="R248" s="400"/>
      <c r="S248" s="401"/>
      <c r="T248" s="402" t="s">
        <v>423</v>
      </c>
      <c r="U248" s="403"/>
      <c r="V248" s="404">
        <f t="shared" si="34"/>
        <v>5307</v>
      </c>
      <c r="W248" s="405" t="str">
        <f>IF(AND(P248&lt;[3]koment!$F$1,N248&gt;=[3]koment!$F$2),"Komentovat","")</f>
        <v/>
      </c>
      <c r="X248" s="406">
        <f t="shared" si="33"/>
        <v>21</v>
      </c>
      <c r="Y248" s="404">
        <f t="shared" si="35"/>
        <v>5600</v>
      </c>
      <c r="Z248" s="407" t="str">
        <f t="shared" si="36"/>
        <v>ORG 5134 - Stavební úpravy ZŠ Mutěnická - 3. etapa</v>
      </c>
      <c r="AA248" s="408" t="str">
        <f t="shared" si="37"/>
        <v>5600311351346121EU</v>
      </c>
      <c r="AB248" s="388"/>
      <c r="AC248" s="409">
        <f t="shared" si="30"/>
        <v>5307</v>
      </c>
      <c r="AD248" s="388"/>
      <c r="AE248" s="388"/>
      <c r="AF248" s="388"/>
    </row>
    <row r="249" spans="1:32" outlineLevel="2" x14ac:dyDescent="0.2">
      <c r="A249" s="391">
        <f t="shared" si="31"/>
        <v>247</v>
      </c>
      <c r="B249" s="422" t="s">
        <v>420</v>
      </c>
      <c r="C249" s="393" t="s">
        <v>664</v>
      </c>
      <c r="D249" s="393">
        <v>5147</v>
      </c>
      <c r="E249" s="393">
        <v>6121</v>
      </c>
      <c r="F249" s="427" t="s">
        <v>490</v>
      </c>
      <c r="G249" s="394" t="s">
        <v>667</v>
      </c>
      <c r="H249" s="393">
        <v>2012</v>
      </c>
      <c r="I249" s="393">
        <v>2016</v>
      </c>
      <c r="J249" s="420">
        <v>26100</v>
      </c>
      <c r="K249" s="420">
        <v>8327</v>
      </c>
      <c r="L249" s="420">
        <v>17908</v>
      </c>
      <c r="M249" s="421"/>
      <c r="N249" s="421">
        <f>20+1500</f>
        <v>1520</v>
      </c>
      <c r="O249" s="420">
        <v>12</v>
      </c>
      <c r="P249" s="399">
        <f t="shared" si="32"/>
        <v>7.8947368421052634E-3</v>
      </c>
      <c r="Q249" s="421"/>
      <c r="R249" s="400"/>
      <c r="S249" s="401"/>
      <c r="T249" s="402" t="s">
        <v>423</v>
      </c>
      <c r="U249" s="403"/>
      <c r="V249" s="404">
        <f t="shared" si="34"/>
        <v>6672</v>
      </c>
      <c r="W249" s="405" t="str">
        <f>IF(AND(P249&lt;[3]koment!$F$1,N249&gt;=[3]koment!$F$2),"Komentovat","")</f>
        <v>Komentovat</v>
      </c>
      <c r="X249" s="406">
        <f t="shared" si="33"/>
        <v>22</v>
      </c>
      <c r="Y249" s="404">
        <f t="shared" si="35"/>
        <v>5600</v>
      </c>
      <c r="Z249" s="407" t="str">
        <f t="shared" si="36"/>
        <v>ORG 5147 - Zateplení ZŠ Úvoz</v>
      </c>
      <c r="AA249" s="408" t="str">
        <f t="shared" si="37"/>
        <v>5600311351476121EU</v>
      </c>
      <c r="AB249" s="388"/>
      <c r="AC249" s="409">
        <f t="shared" si="30"/>
        <v>6672</v>
      </c>
      <c r="AD249" s="388"/>
      <c r="AE249" s="388"/>
      <c r="AF249" s="388"/>
    </row>
    <row r="250" spans="1:32" outlineLevel="2" x14ac:dyDescent="0.2">
      <c r="A250" s="391">
        <f t="shared" si="31"/>
        <v>248</v>
      </c>
      <c r="B250" s="392" t="s">
        <v>668</v>
      </c>
      <c r="C250" s="393" t="s">
        <v>664</v>
      </c>
      <c r="D250" s="394">
        <v>5147</v>
      </c>
      <c r="E250" s="393">
        <v>6121</v>
      </c>
      <c r="F250" s="427" t="s">
        <v>490</v>
      </c>
      <c r="G250" s="394" t="s">
        <v>667</v>
      </c>
      <c r="H250" s="394">
        <v>2012</v>
      </c>
      <c r="I250" s="394">
        <v>2016</v>
      </c>
      <c r="J250" s="396"/>
      <c r="K250" s="396"/>
      <c r="L250" s="397"/>
      <c r="M250" s="398"/>
      <c r="N250" s="398">
        <v>20</v>
      </c>
      <c r="O250" s="396">
        <v>0</v>
      </c>
      <c r="P250" s="399">
        <f t="shared" si="32"/>
        <v>0</v>
      </c>
      <c r="Q250" s="398"/>
      <c r="R250" s="400"/>
      <c r="S250" s="401"/>
      <c r="T250" s="402" t="s">
        <v>669</v>
      </c>
      <c r="U250" s="403"/>
      <c r="V250" s="404">
        <f t="shared" si="34"/>
        <v>-20</v>
      </c>
      <c r="W250" s="405" t="str">
        <f>IF(AND(P250&lt;[3]koment!$F$1,N250&gt;=[3]koment!$F$2),"Komentovat","")</f>
        <v/>
      </c>
      <c r="X250" s="406">
        <f t="shared" si="33"/>
        <v>22</v>
      </c>
      <c r="Y250" s="404">
        <f t="shared" si="35"/>
        <v>5900</v>
      </c>
      <c r="Z250" s="407" t="str">
        <f t="shared" si="36"/>
        <v>ORG 5147 - Zateplení ZŠ Úvoz</v>
      </c>
      <c r="AA250" s="408" t="str">
        <f t="shared" si="37"/>
        <v>5900311351476121EU</v>
      </c>
      <c r="AB250" s="388"/>
      <c r="AC250" s="409">
        <f t="shared" si="30"/>
        <v>-20</v>
      </c>
      <c r="AD250" s="388"/>
      <c r="AE250" s="388"/>
      <c r="AF250" s="388"/>
    </row>
    <row r="251" spans="1:32" outlineLevel="2" x14ac:dyDescent="0.2">
      <c r="A251" s="391">
        <f t="shared" si="31"/>
        <v>249</v>
      </c>
      <c r="B251" s="422" t="s">
        <v>420</v>
      </c>
      <c r="C251" s="393" t="s">
        <v>664</v>
      </c>
      <c r="D251" s="393">
        <v>5150</v>
      </c>
      <c r="E251" s="393">
        <v>6121</v>
      </c>
      <c r="F251" s="427" t="s">
        <v>490</v>
      </c>
      <c r="G251" s="394" t="s">
        <v>670</v>
      </c>
      <c r="H251" s="393">
        <v>2012</v>
      </c>
      <c r="I251" s="393">
        <v>2016</v>
      </c>
      <c r="J251" s="420">
        <v>48300</v>
      </c>
      <c r="K251" s="420">
        <v>14501</v>
      </c>
      <c r="L251" s="420">
        <v>30638</v>
      </c>
      <c r="M251" s="421"/>
      <c r="N251" s="421">
        <v>51</v>
      </c>
      <c r="O251" s="420">
        <v>33</v>
      </c>
      <c r="P251" s="399">
        <f t="shared" si="32"/>
        <v>0.6470588235294118</v>
      </c>
      <c r="Q251" s="421"/>
      <c r="R251" s="400"/>
      <c r="S251" s="401"/>
      <c r="T251" s="402" t="s">
        <v>423</v>
      </c>
      <c r="U251" s="403"/>
      <c r="V251" s="404">
        <f t="shared" si="34"/>
        <v>17611</v>
      </c>
      <c r="W251" s="405" t="str">
        <f>IF(AND(P251&lt;[3]koment!$F$1,N251&gt;=[3]koment!$F$2),"Komentovat","")</f>
        <v/>
      </c>
      <c r="X251" s="406">
        <f t="shared" si="33"/>
        <v>22</v>
      </c>
      <c r="Y251" s="404">
        <f t="shared" si="35"/>
        <v>5600</v>
      </c>
      <c r="Z251" s="407" t="str">
        <f t="shared" si="36"/>
        <v>ORG 5150 - Zateplení ZŠ Svážná</v>
      </c>
      <c r="AA251" s="408" t="str">
        <f t="shared" si="37"/>
        <v>5600311351506121EU</v>
      </c>
      <c r="AB251" s="388"/>
      <c r="AC251" s="409">
        <f t="shared" si="30"/>
        <v>17611</v>
      </c>
      <c r="AD251" s="388"/>
      <c r="AE251" s="388"/>
      <c r="AF251" s="388"/>
    </row>
    <row r="252" spans="1:32" outlineLevel="2" x14ac:dyDescent="0.2">
      <c r="A252" s="391">
        <f t="shared" si="31"/>
        <v>250</v>
      </c>
      <c r="B252" s="422" t="s">
        <v>420</v>
      </c>
      <c r="C252" s="393" t="s">
        <v>664</v>
      </c>
      <c r="D252" s="393">
        <v>5177</v>
      </c>
      <c r="E252" s="393">
        <v>6121</v>
      </c>
      <c r="F252" s="427" t="s">
        <v>490</v>
      </c>
      <c r="G252" s="394" t="s">
        <v>671</v>
      </c>
      <c r="H252" s="393">
        <v>2013</v>
      </c>
      <c r="I252" s="393">
        <v>2017</v>
      </c>
      <c r="J252" s="420">
        <v>22124</v>
      </c>
      <c r="K252" s="420">
        <v>18167</v>
      </c>
      <c r="L252" s="420">
        <v>3749</v>
      </c>
      <c r="M252" s="421">
        <v>250</v>
      </c>
      <c r="N252" s="421">
        <f>2015+17000</f>
        <v>19015</v>
      </c>
      <c r="O252" s="420">
        <v>16503</v>
      </c>
      <c r="P252" s="399">
        <f t="shared" si="32"/>
        <v>0.86789376807783325</v>
      </c>
      <c r="Q252" s="421">
        <v>50</v>
      </c>
      <c r="R252" s="400"/>
      <c r="S252" s="401"/>
      <c r="T252" s="402" t="s">
        <v>423</v>
      </c>
      <c r="U252" s="403"/>
      <c r="V252" s="404">
        <f t="shared" si="34"/>
        <v>-690</v>
      </c>
      <c r="W252" s="405" t="str">
        <f>IF(AND(P252&lt;[3]koment!$F$1,N252&gt;=[3]koment!$F$2),"Komentovat","")</f>
        <v/>
      </c>
      <c r="X252" s="406">
        <f t="shared" si="33"/>
        <v>22</v>
      </c>
      <c r="Y252" s="404">
        <f t="shared" si="35"/>
        <v>5600</v>
      </c>
      <c r="Z252" s="407" t="str">
        <f t="shared" si="36"/>
        <v>ORG 5177 - Revitalizace sportovních ploch při MŠ a ZŠ v MČ Brno-Židenice</v>
      </c>
      <c r="AA252" s="408" t="str">
        <f t="shared" si="37"/>
        <v>5600311351776121EU</v>
      </c>
      <c r="AB252" s="388"/>
      <c r="AC252" s="409">
        <f t="shared" si="30"/>
        <v>-690</v>
      </c>
      <c r="AD252" s="388"/>
      <c r="AE252" s="388"/>
      <c r="AF252" s="388"/>
    </row>
    <row r="253" spans="1:32" outlineLevel="2" x14ac:dyDescent="0.2">
      <c r="A253" s="391">
        <f t="shared" si="31"/>
        <v>251</v>
      </c>
      <c r="B253" s="422" t="s">
        <v>420</v>
      </c>
      <c r="C253" s="393" t="s">
        <v>664</v>
      </c>
      <c r="D253" s="393">
        <v>5178</v>
      </c>
      <c r="E253" s="393">
        <v>6121</v>
      </c>
      <c r="F253" s="427" t="s">
        <v>490</v>
      </c>
      <c r="G253" s="394" t="s">
        <v>672</v>
      </c>
      <c r="H253" s="393">
        <v>2013</v>
      </c>
      <c r="I253" s="393">
        <v>2016</v>
      </c>
      <c r="J253" s="420">
        <v>6200</v>
      </c>
      <c r="K253" s="420">
        <v>5101</v>
      </c>
      <c r="L253" s="420">
        <v>5689</v>
      </c>
      <c r="M253" s="421"/>
      <c r="N253" s="421">
        <v>15</v>
      </c>
      <c r="O253" s="420">
        <v>12</v>
      </c>
      <c r="P253" s="399">
        <f t="shared" si="32"/>
        <v>0.8</v>
      </c>
      <c r="Q253" s="421"/>
      <c r="R253" s="400"/>
      <c r="S253" s="401"/>
      <c r="T253" s="402" t="s">
        <v>423</v>
      </c>
      <c r="U253" s="403"/>
      <c r="V253" s="404">
        <f t="shared" si="34"/>
        <v>496</v>
      </c>
      <c r="W253" s="405" t="str">
        <f>IF(AND(P253&lt;[3]koment!$F$1,N253&gt;=[3]koment!$F$2),"Komentovat","")</f>
        <v/>
      </c>
      <c r="X253" s="406">
        <f t="shared" si="33"/>
        <v>22</v>
      </c>
      <c r="Y253" s="404">
        <f t="shared" si="35"/>
        <v>5600</v>
      </c>
      <c r="Z253" s="407" t="str">
        <f t="shared" si="36"/>
        <v>ORG 5178 - ZŠ Vranovská - rekonstrukce hřiště</v>
      </c>
      <c r="AA253" s="408" t="str">
        <f t="shared" si="37"/>
        <v>5600311351786121EU</v>
      </c>
      <c r="AB253" s="388"/>
      <c r="AC253" s="409">
        <f t="shared" si="30"/>
        <v>496</v>
      </c>
      <c r="AD253" s="388"/>
      <c r="AE253" s="388"/>
      <c r="AF253" s="388"/>
    </row>
    <row r="254" spans="1:32" outlineLevel="2" x14ac:dyDescent="0.2">
      <c r="A254" s="391">
        <f t="shared" si="31"/>
        <v>252</v>
      </c>
      <c r="B254" s="422" t="s">
        <v>420</v>
      </c>
      <c r="C254" s="393" t="s">
        <v>664</v>
      </c>
      <c r="D254" s="393">
        <v>5189</v>
      </c>
      <c r="E254" s="393">
        <v>6121</v>
      </c>
      <c r="F254" s="427" t="s">
        <v>490</v>
      </c>
      <c r="G254" s="394" t="s">
        <v>673</v>
      </c>
      <c r="H254" s="393">
        <v>2014</v>
      </c>
      <c r="I254" s="393">
        <v>2016</v>
      </c>
      <c r="J254" s="420">
        <v>18340</v>
      </c>
      <c r="K254" s="420">
        <v>9765</v>
      </c>
      <c r="L254" s="420">
        <v>13566</v>
      </c>
      <c r="M254" s="421"/>
      <c r="N254" s="421">
        <v>16</v>
      </c>
      <c r="O254" s="420">
        <v>14</v>
      </c>
      <c r="P254" s="399">
        <f t="shared" si="32"/>
        <v>0.875</v>
      </c>
      <c r="Q254" s="421"/>
      <c r="R254" s="400"/>
      <c r="S254" s="401"/>
      <c r="T254" s="402" t="s">
        <v>423</v>
      </c>
      <c r="U254" s="403"/>
      <c r="V254" s="404">
        <f t="shared" si="34"/>
        <v>4758</v>
      </c>
      <c r="W254" s="405" t="str">
        <f>IF(AND(P254&lt;[3]koment!$F$1,N254&gt;=[3]koment!$F$2),"Komentovat","")</f>
        <v/>
      </c>
      <c r="X254" s="406">
        <f t="shared" si="33"/>
        <v>22</v>
      </c>
      <c r="Y254" s="404">
        <f t="shared" si="35"/>
        <v>5600</v>
      </c>
      <c r="Z254" s="407" t="str">
        <f t="shared" si="36"/>
        <v>ORG 5189 - Stavební úpravy ZŠ a MŠ JANA BROSKVY 388/3 a 139/1</v>
      </c>
      <c r="AA254" s="408" t="str">
        <f t="shared" si="37"/>
        <v>5600311351896121EU</v>
      </c>
      <c r="AB254" s="388"/>
      <c r="AC254" s="409">
        <f t="shared" si="30"/>
        <v>4758</v>
      </c>
      <c r="AD254" s="388"/>
      <c r="AE254" s="388"/>
      <c r="AF254" s="388"/>
    </row>
    <row r="255" spans="1:32" outlineLevel="2" x14ac:dyDescent="0.2">
      <c r="A255" s="391">
        <f t="shared" si="31"/>
        <v>253</v>
      </c>
      <c r="B255" s="422" t="s">
        <v>420</v>
      </c>
      <c r="C255" s="393" t="s">
        <v>664</v>
      </c>
      <c r="D255" s="393">
        <v>5195</v>
      </c>
      <c r="E255" s="393">
        <v>6121</v>
      </c>
      <c r="F255" s="427" t="s">
        <v>490</v>
      </c>
      <c r="G255" s="394" t="s">
        <v>674</v>
      </c>
      <c r="H255" s="393">
        <v>2014</v>
      </c>
      <c r="I255" s="393">
        <v>2016</v>
      </c>
      <c r="J255" s="420">
        <v>11560</v>
      </c>
      <c r="K255" s="420">
        <v>9545</v>
      </c>
      <c r="L255" s="420">
        <v>10544</v>
      </c>
      <c r="M255" s="421">
        <v>30</v>
      </c>
      <c r="N255" s="421">
        <v>30</v>
      </c>
      <c r="O255" s="420">
        <v>0</v>
      </c>
      <c r="P255" s="399">
        <f t="shared" si="32"/>
        <v>0</v>
      </c>
      <c r="Q255" s="421"/>
      <c r="R255" s="400"/>
      <c r="S255" s="401"/>
      <c r="T255" s="402" t="s">
        <v>423</v>
      </c>
      <c r="U255" s="403"/>
      <c r="V255" s="404">
        <f t="shared" si="34"/>
        <v>986</v>
      </c>
      <c r="W255" s="405" t="str">
        <f>IF(AND(P255&lt;[3]koment!$F$1,N255&gt;=[3]koment!$F$2),"Komentovat","")</f>
        <v/>
      </c>
      <c r="X255" s="406">
        <f t="shared" si="33"/>
        <v>22</v>
      </c>
      <c r="Y255" s="404">
        <f t="shared" si="35"/>
        <v>5600</v>
      </c>
      <c r="Z255" s="407" t="str">
        <f t="shared" si="36"/>
        <v>ORG 5195 - Školní víceúčelové hřiště při ZŠ Otevřená</v>
      </c>
      <c r="AA255" s="408" t="str">
        <f t="shared" si="37"/>
        <v>5600311351956121EU</v>
      </c>
      <c r="AB255" s="388"/>
      <c r="AC255" s="409">
        <f t="shared" si="30"/>
        <v>986</v>
      </c>
      <c r="AD255" s="388"/>
      <c r="AE255" s="388"/>
      <c r="AF255" s="388"/>
    </row>
    <row r="256" spans="1:32" outlineLevel="2" x14ac:dyDescent="0.2">
      <c r="A256" s="391">
        <f t="shared" si="31"/>
        <v>254</v>
      </c>
      <c r="B256" s="392" t="s">
        <v>420</v>
      </c>
      <c r="C256" s="393" t="s">
        <v>664</v>
      </c>
      <c r="D256" s="394">
        <v>5201</v>
      </c>
      <c r="E256" s="393">
        <v>6121</v>
      </c>
      <c r="F256" s="427" t="s">
        <v>490</v>
      </c>
      <c r="G256" s="394" t="s">
        <v>675</v>
      </c>
      <c r="H256" s="394">
        <v>2014</v>
      </c>
      <c r="I256" s="394">
        <v>2016</v>
      </c>
      <c r="J256" s="396">
        <v>9616</v>
      </c>
      <c r="K256" s="396">
        <v>7726</v>
      </c>
      <c r="L256" s="397">
        <v>6347</v>
      </c>
      <c r="M256" s="398"/>
      <c r="N256" s="398">
        <v>12</v>
      </c>
      <c r="O256" s="396">
        <v>10</v>
      </c>
      <c r="P256" s="399">
        <f t="shared" si="32"/>
        <v>0.83333333333333337</v>
      </c>
      <c r="Q256" s="398"/>
      <c r="R256" s="400"/>
      <c r="S256" s="401"/>
      <c r="T256" s="402" t="s">
        <v>423</v>
      </c>
      <c r="U256" s="403"/>
      <c r="V256" s="404">
        <f t="shared" si="34"/>
        <v>3257</v>
      </c>
      <c r="W256" s="405" t="str">
        <f>IF(AND(P256&lt;[3]koment!$F$1,N256&gt;=[3]koment!$F$2),"Komentovat","")</f>
        <v/>
      </c>
      <c r="X256" s="406">
        <f t="shared" si="33"/>
        <v>22</v>
      </c>
      <c r="Y256" s="404">
        <f t="shared" si="35"/>
        <v>5600</v>
      </c>
      <c r="Z256" s="407" t="str">
        <f t="shared" si="36"/>
        <v>ORG 5201 - Rekonstrukce víceúčelového hřiště v areálu ZŠ Arménská 21</v>
      </c>
      <c r="AA256" s="408" t="str">
        <f t="shared" si="37"/>
        <v>5600311352016121EU</v>
      </c>
      <c r="AB256" s="388"/>
      <c r="AC256" s="409">
        <f t="shared" si="30"/>
        <v>3257</v>
      </c>
      <c r="AD256" s="388"/>
      <c r="AE256" s="388"/>
      <c r="AF256" s="388"/>
    </row>
    <row r="257" spans="1:32" outlineLevel="2" x14ac:dyDescent="0.2">
      <c r="A257" s="391">
        <f t="shared" si="31"/>
        <v>255</v>
      </c>
      <c r="B257" s="392" t="s">
        <v>420</v>
      </c>
      <c r="C257" s="393" t="s">
        <v>664</v>
      </c>
      <c r="D257" s="394">
        <v>5302</v>
      </c>
      <c r="E257" s="393">
        <v>6121</v>
      </c>
      <c r="F257" s="427" t="s">
        <v>490</v>
      </c>
      <c r="G257" s="394" t="s">
        <v>676</v>
      </c>
      <c r="H257" s="394">
        <v>2016</v>
      </c>
      <c r="I257" s="394">
        <v>2017</v>
      </c>
      <c r="J257" s="396">
        <v>87375</v>
      </c>
      <c r="K257" s="396"/>
      <c r="L257" s="397"/>
      <c r="M257" s="398"/>
      <c r="N257" s="398">
        <v>1000</v>
      </c>
      <c r="O257" s="396">
        <v>4</v>
      </c>
      <c r="P257" s="399">
        <f t="shared" si="32"/>
        <v>4.0000000000000001E-3</v>
      </c>
      <c r="Q257" s="398">
        <v>10000</v>
      </c>
      <c r="R257" s="400"/>
      <c r="S257" s="401"/>
      <c r="T257" s="402" t="s">
        <v>423</v>
      </c>
      <c r="U257" s="403"/>
      <c r="V257" s="404">
        <f t="shared" si="34"/>
        <v>76375</v>
      </c>
      <c r="W257" s="405" t="str">
        <f>IF(AND(P257&lt;[3]koment!$F$1,N257&gt;=[3]koment!$F$2),"Komentovat","")</f>
        <v>Komentovat</v>
      </c>
      <c r="X257" s="406">
        <f t="shared" si="33"/>
        <v>23</v>
      </c>
      <c r="Y257" s="404">
        <f t="shared" si="35"/>
        <v>5600</v>
      </c>
      <c r="Z257" s="407" t="str">
        <f t="shared" si="36"/>
        <v>ORG 5302 - Zateplení ZŠ Laštůvkova</v>
      </c>
      <c r="AA257" s="408" t="str">
        <f t="shared" si="37"/>
        <v>5600311353026121EU</v>
      </c>
      <c r="AB257" s="388"/>
      <c r="AC257" s="409">
        <f t="shared" si="30"/>
        <v>76375</v>
      </c>
      <c r="AD257" s="388"/>
      <c r="AE257" s="388"/>
      <c r="AF257" s="388"/>
    </row>
    <row r="258" spans="1:32" outlineLevel="2" x14ac:dyDescent="0.2">
      <c r="A258" s="391">
        <f t="shared" si="31"/>
        <v>256</v>
      </c>
      <c r="B258" s="392" t="s">
        <v>187</v>
      </c>
      <c r="C258" s="393" t="s">
        <v>664</v>
      </c>
      <c r="D258" s="394">
        <v>5316</v>
      </c>
      <c r="E258" s="393">
        <v>6121</v>
      </c>
      <c r="F258" s="427" t="s">
        <v>490</v>
      </c>
      <c r="G258" s="394" t="s">
        <v>677</v>
      </c>
      <c r="H258" s="394">
        <v>2016</v>
      </c>
      <c r="I258" s="394">
        <v>2018</v>
      </c>
      <c r="J258" s="396">
        <v>31361</v>
      </c>
      <c r="K258" s="396"/>
      <c r="L258" s="397"/>
      <c r="M258" s="398"/>
      <c r="N258" s="398">
        <v>700</v>
      </c>
      <c r="O258" s="396">
        <v>673</v>
      </c>
      <c r="P258" s="399">
        <f t="shared" si="32"/>
        <v>0.96142857142857141</v>
      </c>
      <c r="Q258" s="398">
        <v>2000</v>
      </c>
      <c r="R258" s="400"/>
      <c r="S258" s="401"/>
      <c r="T258" s="402" t="s">
        <v>678</v>
      </c>
      <c r="U258" s="403"/>
      <c r="V258" s="404">
        <f t="shared" si="34"/>
        <v>28661</v>
      </c>
      <c r="W258" s="405" t="str">
        <f>IF(AND(P258&lt;[3]koment!$F$1,N258&gt;=[3]koment!$F$2),"Komentovat","")</f>
        <v/>
      </c>
      <c r="X258" s="406">
        <f t="shared" si="33"/>
        <v>23</v>
      </c>
      <c r="Y258" s="404">
        <f t="shared" si="35"/>
        <v>6600</v>
      </c>
      <c r="Z258" s="407" t="str">
        <f t="shared" si="36"/>
        <v>ORG 5316 - Stavební úpravy ZŠ Štolcova</v>
      </c>
      <c r="AA258" s="408" t="str">
        <f t="shared" si="37"/>
        <v>6600311353166121EU</v>
      </c>
      <c r="AB258" s="388"/>
      <c r="AC258" s="409">
        <f t="shared" si="30"/>
        <v>28661</v>
      </c>
      <c r="AD258" s="388"/>
      <c r="AE258" s="388"/>
      <c r="AF258" s="388"/>
    </row>
    <row r="259" spans="1:32" outlineLevel="1" x14ac:dyDescent="0.2">
      <c r="A259" s="391">
        <f t="shared" si="31"/>
        <v>257</v>
      </c>
      <c r="B259" s="392"/>
      <c r="C259" s="424" t="s">
        <v>679</v>
      </c>
      <c r="D259" s="394"/>
      <c r="E259" s="393"/>
      <c r="F259" s="427"/>
      <c r="G259" s="394"/>
      <c r="H259" s="394"/>
      <c r="I259" s="394"/>
      <c r="J259" s="396">
        <f t="shared" ref="J259:O259" si="43">SUBTOTAL(9,J247:J258)</f>
        <v>290785</v>
      </c>
      <c r="K259" s="396">
        <f t="shared" si="43"/>
        <v>97297</v>
      </c>
      <c r="L259" s="397">
        <f t="shared" si="43"/>
        <v>111697</v>
      </c>
      <c r="M259" s="398">
        <f t="shared" si="43"/>
        <v>280</v>
      </c>
      <c r="N259" s="398">
        <f t="shared" si="43"/>
        <v>23249</v>
      </c>
      <c r="O259" s="396">
        <f t="shared" si="43"/>
        <v>18097</v>
      </c>
      <c r="P259" s="399">
        <f t="shared" si="32"/>
        <v>0.77839907092778182</v>
      </c>
      <c r="Q259" s="398">
        <f>SUBTOTAL(9,Q247:Q258)</f>
        <v>12050</v>
      </c>
      <c r="R259" s="400">
        <f>SUBTOTAL(9,R247:R258)</f>
        <v>0</v>
      </c>
      <c r="S259" s="401">
        <f>SUBTOTAL(9,S247:S258)</f>
        <v>0</v>
      </c>
      <c r="T259" s="402"/>
      <c r="U259" s="403"/>
      <c r="V259" s="404"/>
      <c r="W259" s="405"/>
      <c r="X259" s="406"/>
      <c r="Y259" s="404" t="str">
        <f>IF($V259=0," ",IF(LEN($B259)=4,$B259*1,$B259))</f>
        <v xml:space="preserve"> </v>
      </c>
      <c r="Z259" s="407">
        <f>IF($Y259=" ",0,"ORG "&amp;$D259&amp;" - "&amp;$G259)</f>
        <v>0</v>
      </c>
      <c r="AA259" s="408" t="str">
        <f>$B259&amp;LEFT($C259,4)&amp;$D259&amp;$E259&amp;$F259</f>
        <v>Celk</v>
      </c>
      <c r="AB259" s="388"/>
      <c r="AC259" s="409"/>
      <c r="AD259" s="388"/>
      <c r="AE259" s="388"/>
      <c r="AF259" s="388"/>
    </row>
    <row r="260" spans="1:32" outlineLevel="2" x14ac:dyDescent="0.2">
      <c r="A260" s="391">
        <f t="shared" ref="A260:A323" si="44">ROW()-2</f>
        <v>258</v>
      </c>
      <c r="B260" s="392" t="s">
        <v>680</v>
      </c>
      <c r="C260" s="393" t="s">
        <v>681</v>
      </c>
      <c r="D260" s="394">
        <v>3192</v>
      </c>
      <c r="E260" s="393">
        <v>6121</v>
      </c>
      <c r="F260" s="395"/>
      <c r="G260" s="394" t="s">
        <v>682</v>
      </c>
      <c r="H260" s="394"/>
      <c r="I260" s="394"/>
      <c r="J260" s="396"/>
      <c r="K260" s="396"/>
      <c r="L260" s="397">
        <v>0</v>
      </c>
      <c r="M260" s="398">
        <v>78600</v>
      </c>
      <c r="N260" s="398">
        <v>0</v>
      </c>
      <c r="O260" s="396"/>
      <c r="P260" s="399" t="str">
        <f t="shared" ref="P260:P323" si="45">IF(N260&lt;=0," ",O260/N260)</f>
        <v xml:space="preserve"> </v>
      </c>
      <c r="Q260" s="398"/>
      <c r="R260" s="400"/>
      <c r="S260" s="401"/>
      <c r="T260" s="449" t="s">
        <v>683</v>
      </c>
      <c r="U260" s="403"/>
      <c r="V260" s="404">
        <f t="shared" si="34"/>
        <v>0</v>
      </c>
      <c r="W260" s="405" t="str">
        <f>IF(AND(P260&lt;[3]koment!$F$1,N260&gt;=[3]koment!$F$2),"Komentovat","")</f>
        <v/>
      </c>
      <c r="X260" s="406">
        <f>IF(W260="Komentovat",X258+1,X258)</f>
        <v>23</v>
      </c>
      <c r="Y260" s="404" t="str">
        <f t="shared" si="35"/>
        <v xml:space="preserve"> </v>
      </c>
      <c r="Z260" s="407">
        <f t="shared" si="36"/>
        <v>0</v>
      </c>
      <c r="AA260" s="408" t="str">
        <f t="shared" si="37"/>
        <v>6700311931926121</v>
      </c>
      <c r="AB260" s="388"/>
      <c r="AC260" s="409">
        <f t="shared" si="30"/>
        <v>0</v>
      </c>
      <c r="AD260" s="388"/>
      <c r="AE260" s="388"/>
      <c r="AF260" s="388"/>
    </row>
    <row r="261" spans="1:32" outlineLevel="1" x14ac:dyDescent="0.2">
      <c r="A261" s="391">
        <f t="shared" si="44"/>
        <v>259</v>
      </c>
      <c r="B261" s="392"/>
      <c r="C261" s="424" t="s">
        <v>684</v>
      </c>
      <c r="D261" s="394"/>
      <c r="E261" s="393"/>
      <c r="F261" s="395"/>
      <c r="G261" s="394"/>
      <c r="H261" s="394"/>
      <c r="I261" s="394"/>
      <c r="J261" s="396">
        <f t="shared" ref="J261:O261" si="46">SUBTOTAL(9,J260:J260)</f>
        <v>0</v>
      </c>
      <c r="K261" s="396">
        <f t="shared" si="46"/>
        <v>0</v>
      </c>
      <c r="L261" s="397">
        <f t="shared" si="46"/>
        <v>0</v>
      </c>
      <c r="M261" s="398">
        <f t="shared" si="46"/>
        <v>78600</v>
      </c>
      <c r="N261" s="398">
        <f t="shared" si="46"/>
        <v>0</v>
      </c>
      <c r="O261" s="396">
        <f t="shared" si="46"/>
        <v>0</v>
      </c>
      <c r="P261" s="399" t="str">
        <f t="shared" si="45"/>
        <v xml:space="preserve"> </v>
      </c>
      <c r="Q261" s="398">
        <f>SUBTOTAL(9,Q260:Q260)</f>
        <v>0</v>
      </c>
      <c r="R261" s="400">
        <f>SUBTOTAL(9,R260:R260)</f>
        <v>0</v>
      </c>
      <c r="S261" s="401">
        <f>SUBTOTAL(9,S260:S260)</f>
        <v>0</v>
      </c>
      <c r="T261" s="449"/>
      <c r="U261" s="403"/>
      <c r="V261" s="404"/>
      <c r="W261" s="405"/>
      <c r="X261" s="406"/>
      <c r="Y261" s="404" t="str">
        <f>IF($V261=0," ",IF(LEN($B261)=4,$B261*1,$B261))</f>
        <v xml:space="preserve"> </v>
      </c>
      <c r="Z261" s="407">
        <f>IF($Y261=" ",0,"ORG "&amp;$D261&amp;" - "&amp;$G261)</f>
        <v>0</v>
      </c>
      <c r="AA261" s="408" t="str">
        <f>$B261&amp;LEFT($C261,4)&amp;$D261&amp;$E261&amp;$F261</f>
        <v>Celk</v>
      </c>
      <c r="AB261" s="388"/>
      <c r="AC261" s="409"/>
      <c r="AD261" s="388"/>
      <c r="AE261" s="388"/>
      <c r="AF261" s="388"/>
    </row>
    <row r="262" spans="1:32" outlineLevel="2" x14ac:dyDescent="0.2">
      <c r="A262" s="391">
        <f t="shared" si="44"/>
        <v>260</v>
      </c>
      <c r="B262" s="392" t="s">
        <v>420</v>
      </c>
      <c r="C262" s="393" t="s">
        <v>685</v>
      </c>
      <c r="D262" s="394">
        <v>5331</v>
      </c>
      <c r="E262" s="393">
        <v>6121</v>
      </c>
      <c r="F262" s="427" t="s">
        <v>490</v>
      </c>
      <c r="G262" s="394" t="s">
        <v>686</v>
      </c>
      <c r="H262" s="394">
        <v>2016</v>
      </c>
      <c r="I262" s="394">
        <v>2017</v>
      </c>
      <c r="J262" s="396">
        <v>2882</v>
      </c>
      <c r="K262" s="396"/>
      <c r="L262" s="397"/>
      <c r="M262" s="398"/>
      <c r="N262" s="398">
        <v>100</v>
      </c>
      <c r="O262" s="396"/>
      <c r="P262" s="399">
        <f t="shared" si="45"/>
        <v>0</v>
      </c>
      <c r="Q262" s="398">
        <v>2800</v>
      </c>
      <c r="R262" s="400"/>
      <c r="S262" s="401"/>
      <c r="T262" s="402" t="s">
        <v>423</v>
      </c>
      <c r="U262" s="403"/>
      <c r="V262" s="404">
        <f t="shared" si="34"/>
        <v>-18</v>
      </c>
      <c r="W262" s="405" t="str">
        <f>IF(AND(P262&lt;[3]koment!$F$1,N262&gt;=[3]koment!$F$2),"Komentovat","")</f>
        <v/>
      </c>
      <c r="X262" s="406">
        <f>IF(W262="Komentovat",X260+1,X260)</f>
        <v>23</v>
      </c>
      <c r="Y262" s="404">
        <f t="shared" si="35"/>
        <v>5600</v>
      </c>
      <c r="Z262" s="407" t="str">
        <f t="shared" si="36"/>
        <v>ORG 5331 - Stavební úpravy ZUŠ Amerlingova</v>
      </c>
      <c r="AA262" s="408" t="str">
        <f t="shared" si="37"/>
        <v>5600323153316121EU</v>
      </c>
      <c r="AB262" s="388"/>
      <c r="AC262" s="409">
        <f t="shared" si="30"/>
        <v>-18</v>
      </c>
      <c r="AD262" s="388"/>
      <c r="AE262" s="388"/>
      <c r="AF262" s="388"/>
    </row>
    <row r="263" spans="1:32" outlineLevel="1" x14ac:dyDescent="0.2">
      <c r="A263" s="391">
        <f t="shared" si="44"/>
        <v>261</v>
      </c>
      <c r="B263" s="392"/>
      <c r="C263" s="424" t="s">
        <v>687</v>
      </c>
      <c r="D263" s="394"/>
      <c r="E263" s="393"/>
      <c r="F263" s="427"/>
      <c r="G263" s="394"/>
      <c r="H263" s="394"/>
      <c r="I263" s="394"/>
      <c r="J263" s="396">
        <f t="shared" ref="J263:O263" si="47">SUBTOTAL(9,J262:J262)</f>
        <v>2882</v>
      </c>
      <c r="K263" s="396">
        <f t="shared" si="47"/>
        <v>0</v>
      </c>
      <c r="L263" s="397">
        <f t="shared" si="47"/>
        <v>0</v>
      </c>
      <c r="M263" s="398">
        <f t="shared" si="47"/>
        <v>0</v>
      </c>
      <c r="N263" s="398">
        <f t="shared" si="47"/>
        <v>100</v>
      </c>
      <c r="O263" s="396">
        <f t="shared" si="47"/>
        <v>0</v>
      </c>
      <c r="P263" s="399">
        <f t="shared" si="45"/>
        <v>0</v>
      </c>
      <c r="Q263" s="398">
        <f>SUBTOTAL(9,Q262:Q262)</f>
        <v>2800</v>
      </c>
      <c r="R263" s="400">
        <f>SUBTOTAL(9,R262:R262)</f>
        <v>0</v>
      </c>
      <c r="S263" s="401">
        <f>SUBTOTAL(9,S262:S262)</f>
        <v>0</v>
      </c>
      <c r="T263" s="402"/>
      <c r="U263" s="403"/>
      <c r="V263" s="404"/>
      <c r="W263" s="405"/>
      <c r="X263" s="406"/>
      <c r="Y263" s="404" t="str">
        <f>IF($V263=0," ",IF(LEN($B263)=4,$B263*1,$B263))</f>
        <v xml:space="preserve"> </v>
      </c>
      <c r="Z263" s="407">
        <f>IF($Y263=" ",0,"ORG "&amp;$D263&amp;" - "&amp;$G263)</f>
        <v>0</v>
      </c>
      <c r="AA263" s="408" t="str">
        <f>$B263&amp;LEFT($C263,4)&amp;$D263&amp;$E263&amp;$F263</f>
        <v>Celk</v>
      </c>
      <c r="AB263" s="388"/>
      <c r="AC263" s="409"/>
      <c r="AD263" s="388"/>
      <c r="AE263" s="388"/>
      <c r="AF263" s="388"/>
    </row>
    <row r="264" spans="1:32" outlineLevel="2" x14ac:dyDescent="0.2">
      <c r="A264" s="391">
        <f t="shared" si="44"/>
        <v>262</v>
      </c>
      <c r="B264" s="392" t="s">
        <v>420</v>
      </c>
      <c r="C264" s="393" t="s">
        <v>688</v>
      </c>
      <c r="D264" s="394">
        <v>2686</v>
      </c>
      <c r="E264" s="393">
        <v>6121</v>
      </c>
      <c r="F264" s="395"/>
      <c r="G264" s="394" t="s">
        <v>689</v>
      </c>
      <c r="H264" s="394">
        <v>2016</v>
      </c>
      <c r="I264" s="394">
        <v>2016</v>
      </c>
      <c r="J264" s="396">
        <v>250</v>
      </c>
      <c r="K264" s="396"/>
      <c r="L264" s="397"/>
      <c r="M264" s="398"/>
      <c r="N264" s="398">
        <v>110</v>
      </c>
      <c r="O264" s="396">
        <v>86</v>
      </c>
      <c r="P264" s="399">
        <f t="shared" si="45"/>
        <v>0.78181818181818186</v>
      </c>
      <c r="Q264" s="398"/>
      <c r="R264" s="400"/>
      <c r="S264" s="401"/>
      <c r="T264" s="402" t="s">
        <v>423</v>
      </c>
      <c r="U264" s="403"/>
      <c r="V264" s="404">
        <f t="shared" si="34"/>
        <v>140</v>
      </c>
      <c r="W264" s="405" t="str">
        <f>IF(AND(P264&lt;[3]koment!$F$1,N264&gt;=[3]koment!$F$2),"Komentovat","")</f>
        <v/>
      </c>
      <c r="X264" s="406">
        <f>IF(W264="Komentovat",X262+1,X262)</f>
        <v>23</v>
      </c>
      <c r="Y264" s="404">
        <f t="shared" si="35"/>
        <v>5600</v>
      </c>
      <c r="Z264" s="407" t="str">
        <f t="shared" si="36"/>
        <v>ORG 2686 - Reduta - sanace sklepního výduchu</v>
      </c>
      <c r="AA264" s="408" t="str">
        <f t="shared" si="37"/>
        <v>5600331126866121</v>
      </c>
      <c r="AB264" s="388"/>
      <c r="AC264" s="409">
        <f t="shared" ref="AC264:AC343" si="48">IF(LEN(D264)=4,(J264-L264-N264-Q264-R264-S264),0)</f>
        <v>140</v>
      </c>
      <c r="AD264" s="388"/>
      <c r="AE264" s="388"/>
      <c r="AF264" s="388"/>
    </row>
    <row r="265" spans="1:32" outlineLevel="2" x14ac:dyDescent="0.2">
      <c r="A265" s="391">
        <f t="shared" si="44"/>
        <v>263</v>
      </c>
      <c r="B265" s="392" t="s">
        <v>420</v>
      </c>
      <c r="C265" s="393" t="s">
        <v>688</v>
      </c>
      <c r="D265" s="394">
        <v>2694</v>
      </c>
      <c r="E265" s="393">
        <v>6121</v>
      </c>
      <c r="F265" s="395"/>
      <c r="G265" s="426" t="s">
        <v>690</v>
      </c>
      <c r="H265" s="394">
        <v>2016</v>
      </c>
      <c r="I265" s="394">
        <v>2017</v>
      </c>
      <c r="J265" s="396">
        <v>3000</v>
      </c>
      <c r="K265" s="396"/>
      <c r="L265" s="397"/>
      <c r="M265" s="398">
        <v>3000</v>
      </c>
      <c r="N265" s="398">
        <v>20</v>
      </c>
      <c r="O265" s="396">
        <v>0</v>
      </c>
      <c r="P265" s="399">
        <f t="shared" si="45"/>
        <v>0</v>
      </c>
      <c r="Q265" s="398">
        <v>2980</v>
      </c>
      <c r="R265" s="400"/>
      <c r="S265" s="401"/>
      <c r="T265" s="402" t="s">
        <v>423</v>
      </c>
      <c r="U265" s="403"/>
      <c r="V265" s="404">
        <f t="shared" si="34"/>
        <v>0</v>
      </c>
      <c r="W265" s="405" t="str">
        <f>IF(AND(P265&lt;[3]koment!$F$1,N265&gt;=[3]koment!$F$2),"Komentovat","")</f>
        <v/>
      </c>
      <c r="X265" s="406">
        <f t="shared" ref="X265:X275" si="49">IF(W265="Komentovat",X264+1,X264)</f>
        <v>23</v>
      </c>
      <c r="Y265" s="404" t="str">
        <f t="shared" si="35"/>
        <v xml:space="preserve"> </v>
      </c>
      <c r="Z265" s="407">
        <f t="shared" si="36"/>
        <v>0</v>
      </c>
      <c r="AA265" s="408" t="str">
        <f t="shared" si="37"/>
        <v>5600331126946121</v>
      </c>
      <c r="AB265" s="388"/>
      <c r="AC265" s="409">
        <f t="shared" si="48"/>
        <v>0</v>
      </c>
      <c r="AD265" s="388"/>
      <c r="AE265" s="388"/>
      <c r="AF265" s="388"/>
    </row>
    <row r="266" spans="1:32" outlineLevel="2" x14ac:dyDescent="0.2">
      <c r="A266" s="391">
        <f t="shared" si="44"/>
        <v>264</v>
      </c>
      <c r="B266" s="392" t="s">
        <v>420</v>
      </c>
      <c r="C266" s="393" t="s">
        <v>688</v>
      </c>
      <c r="D266" s="394">
        <v>2706</v>
      </c>
      <c r="E266" s="393">
        <v>6121</v>
      </c>
      <c r="F266" s="395"/>
      <c r="G266" s="394" t="s">
        <v>691</v>
      </c>
      <c r="H266" s="394">
        <v>2015</v>
      </c>
      <c r="I266" s="394">
        <v>2017</v>
      </c>
      <c r="J266" s="396">
        <v>63200</v>
      </c>
      <c r="K266" s="396"/>
      <c r="L266" s="397">
        <v>0</v>
      </c>
      <c r="M266" s="398">
        <v>20000</v>
      </c>
      <c r="N266" s="398">
        <v>250</v>
      </c>
      <c r="O266" s="396">
        <v>231</v>
      </c>
      <c r="P266" s="399">
        <f t="shared" si="45"/>
        <v>0.92400000000000004</v>
      </c>
      <c r="Q266" s="398">
        <v>40000</v>
      </c>
      <c r="R266" s="400">
        <v>22950</v>
      </c>
      <c r="S266" s="401"/>
      <c r="T266" s="402" t="s">
        <v>423</v>
      </c>
      <c r="U266" s="403"/>
      <c r="V266" s="404">
        <f t="shared" si="34"/>
        <v>0</v>
      </c>
      <c r="W266" s="405" t="str">
        <f>IF(AND(P266&lt;[3]koment!$F$1,N266&gt;=[3]koment!$F$2),"Komentovat","")</f>
        <v/>
      </c>
      <c r="X266" s="406">
        <f t="shared" si="49"/>
        <v>23</v>
      </c>
      <c r="Y266" s="404" t="str">
        <f t="shared" si="35"/>
        <v xml:space="preserve"> </v>
      </c>
      <c r="Z266" s="407">
        <f t="shared" si="36"/>
        <v>0</v>
      </c>
      <c r="AA266" s="408" t="str">
        <f t="shared" si="37"/>
        <v>5600331127066121</v>
      </c>
      <c r="AB266" s="388"/>
      <c r="AC266" s="409">
        <f t="shared" si="48"/>
        <v>0</v>
      </c>
      <c r="AD266" s="388"/>
      <c r="AE266" s="388"/>
      <c r="AF266" s="388"/>
    </row>
    <row r="267" spans="1:32" outlineLevel="2" x14ac:dyDescent="0.2">
      <c r="A267" s="391">
        <f t="shared" si="44"/>
        <v>265</v>
      </c>
      <c r="B267" s="392" t="s">
        <v>420</v>
      </c>
      <c r="C267" s="393" t="s">
        <v>688</v>
      </c>
      <c r="D267" s="394">
        <v>2756</v>
      </c>
      <c r="E267" s="393">
        <v>6121</v>
      </c>
      <c r="F267" s="395"/>
      <c r="G267" s="394" t="s">
        <v>692</v>
      </c>
      <c r="H267" s="394">
        <v>2015</v>
      </c>
      <c r="I267" s="394">
        <v>2016</v>
      </c>
      <c r="J267" s="420">
        <f>55000+2303</f>
        <v>57303</v>
      </c>
      <c r="K267" s="396"/>
      <c r="L267" s="397">
        <v>27303</v>
      </c>
      <c r="M267" s="398">
        <v>25000</v>
      </c>
      <c r="N267" s="398">
        <v>25000</v>
      </c>
      <c r="O267" s="396">
        <v>23241</v>
      </c>
      <c r="P267" s="399">
        <f t="shared" si="45"/>
        <v>0.92964000000000002</v>
      </c>
      <c r="Q267" s="398"/>
      <c r="R267" s="400"/>
      <c r="S267" s="401"/>
      <c r="T267" s="402" t="s">
        <v>423</v>
      </c>
      <c r="U267" s="403"/>
      <c r="V267" s="404">
        <f t="shared" si="34"/>
        <v>5000</v>
      </c>
      <c r="W267" s="405" t="str">
        <f>IF(AND(P267&lt;[3]koment!$F$1,N267&gt;=[3]koment!$F$2),"Komentovat","")</f>
        <v/>
      </c>
      <c r="X267" s="406">
        <f t="shared" si="49"/>
        <v>23</v>
      </c>
      <c r="Y267" s="404">
        <f t="shared" si="35"/>
        <v>5600</v>
      </c>
      <c r="Z267" s="407" t="str">
        <f t="shared" si="36"/>
        <v>ORG 2756 - Stavební úpravy fasády a technologií Janáčkova divadla</v>
      </c>
      <c r="AA267" s="408" t="str">
        <f t="shared" si="37"/>
        <v>5600331127566121</v>
      </c>
      <c r="AB267" s="388"/>
      <c r="AC267" s="409">
        <f t="shared" si="48"/>
        <v>5000</v>
      </c>
      <c r="AD267" s="388"/>
      <c r="AE267" s="388"/>
      <c r="AF267" s="388"/>
    </row>
    <row r="268" spans="1:32" outlineLevel="2" x14ac:dyDescent="0.2">
      <c r="A268" s="391">
        <f t="shared" si="44"/>
        <v>266</v>
      </c>
      <c r="B268" s="419" t="s">
        <v>420</v>
      </c>
      <c r="C268" s="393" t="s">
        <v>688</v>
      </c>
      <c r="D268" s="393">
        <v>2855</v>
      </c>
      <c r="E268" s="393">
        <v>6351</v>
      </c>
      <c r="F268" s="402"/>
      <c r="G268" s="394" t="s">
        <v>693</v>
      </c>
      <c r="H268" s="393">
        <v>2013</v>
      </c>
      <c r="I268" s="393">
        <v>2017</v>
      </c>
      <c r="J268" s="420">
        <v>44100</v>
      </c>
      <c r="K268" s="420">
        <v>36799</v>
      </c>
      <c r="L268" s="420">
        <v>7301</v>
      </c>
      <c r="M268" s="421">
        <v>2400</v>
      </c>
      <c r="N268" s="421">
        <v>1030</v>
      </c>
      <c r="O268" s="420">
        <v>123</v>
      </c>
      <c r="P268" s="399">
        <f t="shared" si="45"/>
        <v>0.11941747572815534</v>
      </c>
      <c r="Q268" s="421"/>
      <c r="R268" s="400"/>
      <c r="S268" s="401"/>
      <c r="T268" s="450" t="s">
        <v>694</v>
      </c>
      <c r="U268" s="403"/>
      <c r="V268" s="404">
        <f t="shared" si="34"/>
        <v>35769</v>
      </c>
      <c r="W268" s="405" t="str">
        <f>IF(AND(P268&lt;[3]koment!$F$1,N268&gt;=[3]koment!$F$2),"Komentovat","")</f>
        <v>Komentovat</v>
      </c>
      <c r="X268" s="406">
        <f t="shared" si="49"/>
        <v>24</v>
      </c>
      <c r="Y268" s="404">
        <f t="shared" si="35"/>
        <v>5600</v>
      </c>
      <c r="Z268" s="407" t="str">
        <f t="shared" si="36"/>
        <v>ORG 2855 - Městské divadlo Brno - přístavba dílen a skladů</v>
      </c>
      <c r="AA268" s="408" t="str">
        <f t="shared" si="37"/>
        <v>5600331128556351</v>
      </c>
      <c r="AB268" s="388"/>
      <c r="AC268" s="409">
        <f t="shared" si="48"/>
        <v>35769</v>
      </c>
      <c r="AD268" s="388"/>
      <c r="AE268" s="388"/>
      <c r="AF268" s="388"/>
    </row>
    <row r="269" spans="1:32" outlineLevel="2" x14ac:dyDescent="0.2">
      <c r="A269" s="391">
        <f t="shared" si="44"/>
        <v>267</v>
      </c>
      <c r="B269" s="422" t="s">
        <v>420</v>
      </c>
      <c r="C269" s="393" t="s">
        <v>688</v>
      </c>
      <c r="D269" s="393">
        <v>4534</v>
      </c>
      <c r="E269" s="393">
        <v>6121</v>
      </c>
      <c r="F269" s="402" t="s">
        <v>447</v>
      </c>
      <c r="G269" s="394" t="s">
        <v>695</v>
      </c>
      <c r="H269" s="423">
        <v>2002</v>
      </c>
      <c r="I269" s="393" t="s">
        <v>696</v>
      </c>
      <c r="J269" s="420">
        <v>1106000</v>
      </c>
      <c r="K269" s="420"/>
      <c r="L269" s="420">
        <v>413822</v>
      </c>
      <c r="M269" s="421">
        <v>15000</v>
      </c>
      <c r="N269" s="421">
        <v>1000</v>
      </c>
      <c r="O269" s="420">
        <v>67</v>
      </c>
      <c r="P269" s="399">
        <f t="shared" si="45"/>
        <v>6.7000000000000004E-2</v>
      </c>
      <c r="Q269" s="421">
        <v>15000</v>
      </c>
      <c r="R269" s="400">
        <v>456678</v>
      </c>
      <c r="S269" s="401">
        <v>207500</v>
      </c>
      <c r="T269" s="402" t="s">
        <v>423</v>
      </c>
      <c r="U269" s="403"/>
      <c r="V269" s="404">
        <f t="shared" si="34"/>
        <v>12000</v>
      </c>
      <c r="W269" s="405" t="str">
        <f>IF(AND(P269&lt;[3]koment!$F$1,N269&gt;=[3]koment!$F$2),"Komentovat","")</f>
        <v>Komentovat</v>
      </c>
      <c r="X269" s="406">
        <f t="shared" si="49"/>
        <v>25</v>
      </c>
      <c r="Y269" s="404">
        <f t="shared" si="35"/>
        <v>5600</v>
      </c>
      <c r="Z269" s="407" t="str">
        <f t="shared" si="36"/>
        <v>ORG 4534 - Rek. a dobudování Janáčkova divadla</v>
      </c>
      <c r="AA269" s="408" t="str">
        <f t="shared" si="37"/>
        <v>5600331145346121S</v>
      </c>
      <c r="AB269" s="388"/>
      <c r="AC269" s="409">
        <f t="shared" si="48"/>
        <v>12000</v>
      </c>
      <c r="AD269" s="388"/>
      <c r="AE269" s="388"/>
      <c r="AF269" s="388"/>
    </row>
    <row r="270" spans="1:32" outlineLevel="2" x14ac:dyDescent="0.2">
      <c r="A270" s="391">
        <f t="shared" si="44"/>
        <v>268</v>
      </c>
      <c r="B270" s="392" t="s">
        <v>697</v>
      </c>
      <c r="C270" s="393" t="s">
        <v>688</v>
      </c>
      <c r="D270" s="394">
        <v>30069121</v>
      </c>
      <c r="E270" s="393">
        <v>6351</v>
      </c>
      <c r="F270" s="395"/>
      <c r="G270" s="449" t="s">
        <v>698</v>
      </c>
      <c r="H270" s="394"/>
      <c r="I270" s="394"/>
      <c r="J270" s="396"/>
      <c r="K270" s="396"/>
      <c r="L270" s="397">
        <v>17620</v>
      </c>
      <c r="M270" s="398">
        <v>30334</v>
      </c>
      <c r="N270" s="398">
        <v>51374</v>
      </c>
      <c r="O270" s="396">
        <v>50893</v>
      </c>
      <c r="P270" s="399">
        <f t="shared" si="45"/>
        <v>0.99063728734379253</v>
      </c>
      <c r="Q270" s="398">
        <v>5849</v>
      </c>
      <c r="R270" s="400"/>
      <c r="S270" s="401"/>
      <c r="T270" s="449" t="s">
        <v>699</v>
      </c>
      <c r="U270" s="403"/>
      <c r="V270" s="404">
        <f t="shared" si="34"/>
        <v>0</v>
      </c>
      <c r="W270" s="405" t="str">
        <f>IF(AND(P270&lt;[3]koment!$F$1,N270&gt;=[3]koment!$F$2),"Komentovat","")</f>
        <v/>
      </c>
      <c r="X270" s="406">
        <f t="shared" si="49"/>
        <v>25</v>
      </c>
      <c r="Y270" s="404" t="str">
        <f t="shared" si="35"/>
        <v xml:space="preserve"> </v>
      </c>
      <c r="Z270" s="407">
        <f t="shared" si="36"/>
        <v>0</v>
      </c>
      <c r="AA270" s="408" t="str">
        <f t="shared" si="37"/>
        <v>73003311300691216351</v>
      </c>
      <c r="AB270" s="388"/>
      <c r="AC270" s="409">
        <f t="shared" si="48"/>
        <v>0</v>
      </c>
      <c r="AD270" s="388"/>
      <c r="AE270" s="388"/>
      <c r="AF270" s="388"/>
    </row>
    <row r="271" spans="1:32" outlineLevel="2" x14ac:dyDescent="0.2">
      <c r="A271" s="391">
        <f t="shared" si="44"/>
        <v>269</v>
      </c>
      <c r="B271" s="392" t="s">
        <v>697</v>
      </c>
      <c r="C271" s="393" t="s">
        <v>688</v>
      </c>
      <c r="D271" s="394">
        <v>30069122</v>
      </c>
      <c r="E271" s="393">
        <v>6351</v>
      </c>
      <c r="F271" s="395"/>
      <c r="G271" s="449" t="s">
        <v>700</v>
      </c>
      <c r="H271" s="394"/>
      <c r="I271" s="394"/>
      <c r="J271" s="396"/>
      <c r="K271" s="396"/>
      <c r="L271" s="397">
        <v>838</v>
      </c>
      <c r="M271" s="398">
        <v>1836</v>
      </c>
      <c r="N271" s="398">
        <v>1836</v>
      </c>
      <c r="O271" s="396">
        <v>1820</v>
      </c>
      <c r="P271" s="399">
        <f t="shared" si="45"/>
        <v>0.99128540305010893</v>
      </c>
      <c r="Q271" s="398">
        <v>2500</v>
      </c>
      <c r="R271" s="400"/>
      <c r="S271" s="401"/>
      <c r="T271" s="449" t="s">
        <v>701</v>
      </c>
      <c r="U271" s="403"/>
      <c r="V271" s="404">
        <f t="shared" si="34"/>
        <v>0</v>
      </c>
      <c r="W271" s="405" t="str">
        <f>IF(AND(P271&lt;[3]koment!$F$1,N271&gt;=[3]koment!$F$2),"Komentovat","")</f>
        <v/>
      </c>
      <c r="X271" s="406">
        <f t="shared" si="49"/>
        <v>25</v>
      </c>
      <c r="Y271" s="404" t="str">
        <f t="shared" si="35"/>
        <v xml:space="preserve"> </v>
      </c>
      <c r="Z271" s="407">
        <f t="shared" si="36"/>
        <v>0</v>
      </c>
      <c r="AA271" s="408" t="str">
        <f t="shared" si="37"/>
        <v>73003311300691226351</v>
      </c>
      <c r="AB271" s="388"/>
      <c r="AC271" s="409">
        <f t="shared" si="48"/>
        <v>0</v>
      </c>
      <c r="AD271" s="388"/>
      <c r="AE271" s="388"/>
      <c r="AF271" s="388"/>
    </row>
    <row r="272" spans="1:32" outlineLevel="2" x14ac:dyDescent="0.2">
      <c r="A272" s="391">
        <f t="shared" si="44"/>
        <v>270</v>
      </c>
      <c r="B272" s="392" t="s">
        <v>697</v>
      </c>
      <c r="C272" s="393" t="s">
        <v>688</v>
      </c>
      <c r="D272" s="394">
        <v>30069123</v>
      </c>
      <c r="E272" s="393">
        <v>6351</v>
      </c>
      <c r="F272" s="395"/>
      <c r="G272" s="426" t="s">
        <v>702</v>
      </c>
      <c r="H272" s="394"/>
      <c r="I272" s="394"/>
      <c r="J272" s="396"/>
      <c r="K272" s="396"/>
      <c r="L272" s="397"/>
      <c r="M272" s="398"/>
      <c r="N272" s="398">
        <v>14676</v>
      </c>
      <c r="O272" s="396">
        <v>14492</v>
      </c>
      <c r="P272" s="399">
        <f t="shared" si="45"/>
        <v>0.98746252384846012</v>
      </c>
      <c r="Q272" s="398">
        <v>5820</v>
      </c>
      <c r="R272" s="400"/>
      <c r="S272" s="401"/>
      <c r="T272" s="402" t="s">
        <v>694</v>
      </c>
      <c r="U272" s="403"/>
      <c r="V272" s="404">
        <f t="shared" si="34"/>
        <v>0</v>
      </c>
      <c r="W272" s="405" t="str">
        <f>IF(AND(P272&lt;[3]koment!$F$1,N272&gt;=[3]koment!$F$2),"Komentovat","")</f>
        <v/>
      </c>
      <c r="X272" s="406">
        <f t="shared" si="49"/>
        <v>25</v>
      </c>
      <c r="Y272" s="404" t="str">
        <f t="shared" si="35"/>
        <v xml:space="preserve"> </v>
      </c>
      <c r="Z272" s="407">
        <f t="shared" si="36"/>
        <v>0</v>
      </c>
      <c r="AA272" s="408" t="str">
        <f t="shared" si="37"/>
        <v>73003311300691236351</v>
      </c>
      <c r="AB272" s="388"/>
      <c r="AC272" s="409">
        <f t="shared" si="48"/>
        <v>0</v>
      </c>
      <c r="AD272" s="388"/>
      <c r="AE272" s="388"/>
      <c r="AF272" s="388"/>
    </row>
    <row r="273" spans="1:32" outlineLevel="1" x14ac:dyDescent="0.2">
      <c r="A273" s="391">
        <f t="shared" si="44"/>
        <v>271</v>
      </c>
      <c r="B273" s="392"/>
      <c r="C273" s="424" t="s">
        <v>703</v>
      </c>
      <c r="D273" s="394"/>
      <c r="E273" s="393"/>
      <c r="F273" s="395"/>
      <c r="G273" s="426"/>
      <c r="H273" s="394"/>
      <c r="I273" s="394"/>
      <c r="J273" s="396">
        <f t="shared" ref="J273:O273" si="50">SUBTOTAL(9,J264:J272)</f>
        <v>1273853</v>
      </c>
      <c r="K273" s="396">
        <f t="shared" si="50"/>
        <v>36799</v>
      </c>
      <c r="L273" s="397">
        <f t="shared" si="50"/>
        <v>466884</v>
      </c>
      <c r="M273" s="398">
        <f t="shared" si="50"/>
        <v>97570</v>
      </c>
      <c r="N273" s="398">
        <f t="shared" si="50"/>
        <v>95296</v>
      </c>
      <c r="O273" s="396">
        <f t="shared" si="50"/>
        <v>90953</v>
      </c>
      <c r="P273" s="399">
        <f t="shared" si="45"/>
        <v>0.95442620886501006</v>
      </c>
      <c r="Q273" s="398">
        <f>SUBTOTAL(9,Q264:Q272)</f>
        <v>72149</v>
      </c>
      <c r="R273" s="400">
        <f>SUBTOTAL(9,R264:R272)</f>
        <v>479628</v>
      </c>
      <c r="S273" s="401">
        <f>SUBTOTAL(9,S264:S272)</f>
        <v>207500</v>
      </c>
      <c r="T273" s="402"/>
      <c r="U273" s="403"/>
      <c r="V273" s="404"/>
      <c r="W273" s="405"/>
      <c r="X273" s="406"/>
      <c r="Y273" s="404" t="str">
        <f>IF($V273=0," ",IF(LEN($B273)=4,$B273*1,$B273))</f>
        <v xml:space="preserve"> </v>
      </c>
      <c r="Z273" s="407">
        <f>IF($Y273=" ",0,"ORG "&amp;$D273&amp;" - "&amp;$G273)</f>
        <v>0</v>
      </c>
      <c r="AA273" s="408" t="str">
        <f>$B273&amp;LEFT($C273,4)&amp;$D273&amp;$E273&amp;$F273</f>
        <v>Celk</v>
      </c>
      <c r="AB273" s="388"/>
      <c r="AC273" s="409"/>
      <c r="AD273" s="388"/>
      <c r="AE273" s="388"/>
      <c r="AF273" s="388"/>
    </row>
    <row r="274" spans="1:32" outlineLevel="2" x14ac:dyDescent="0.2">
      <c r="A274" s="391">
        <f t="shared" si="44"/>
        <v>272</v>
      </c>
      <c r="B274" s="422" t="s">
        <v>420</v>
      </c>
      <c r="C274" s="393" t="s">
        <v>704</v>
      </c>
      <c r="D274" s="393">
        <v>4541</v>
      </c>
      <c r="E274" s="393">
        <v>6121</v>
      </c>
      <c r="F274" s="402" t="s">
        <v>447</v>
      </c>
      <c r="G274" s="394" t="s">
        <v>705</v>
      </c>
      <c r="H274" s="423">
        <v>2001</v>
      </c>
      <c r="I274" s="393">
        <v>2020</v>
      </c>
      <c r="J274" s="420">
        <v>1284998</v>
      </c>
      <c r="K274" s="420"/>
      <c r="L274" s="420">
        <v>13245</v>
      </c>
      <c r="M274" s="421">
        <v>20000</v>
      </c>
      <c r="N274" s="421">
        <v>20000</v>
      </c>
      <c r="O274" s="420">
        <v>3010</v>
      </c>
      <c r="P274" s="399">
        <f t="shared" si="45"/>
        <v>0.15049999999999999</v>
      </c>
      <c r="Q274" s="421">
        <v>15000</v>
      </c>
      <c r="R274" s="400">
        <v>450000</v>
      </c>
      <c r="S274" s="401">
        <v>786753</v>
      </c>
      <c r="T274" s="402" t="s">
        <v>706</v>
      </c>
      <c r="U274" s="403"/>
      <c r="V274" s="404">
        <f t="shared" si="34"/>
        <v>0</v>
      </c>
      <c r="W274" s="405" t="str">
        <f>IF(AND(P274&lt;[3]koment!$F$1,N274&gt;=[3]koment!$F$2),"Komentovat","")</f>
        <v>Komentovat</v>
      </c>
      <c r="X274" s="406">
        <f>IF(W274="Komentovat",X272+1,X272)</f>
        <v>26</v>
      </c>
      <c r="Y274" s="404" t="str">
        <f t="shared" si="35"/>
        <v xml:space="preserve"> </v>
      </c>
      <c r="Z274" s="407">
        <f t="shared" si="36"/>
        <v>0</v>
      </c>
      <c r="AA274" s="408" t="str">
        <f t="shared" si="37"/>
        <v>5600331245416121S</v>
      </c>
      <c r="AB274" s="388"/>
      <c r="AC274" s="409">
        <f t="shared" si="48"/>
        <v>0</v>
      </c>
      <c r="AD274" s="388"/>
      <c r="AE274" s="388"/>
      <c r="AF274" s="388"/>
    </row>
    <row r="275" spans="1:32" outlineLevel="2" x14ac:dyDescent="0.2">
      <c r="A275" s="391">
        <f t="shared" si="44"/>
        <v>273</v>
      </c>
      <c r="B275" s="392" t="s">
        <v>697</v>
      </c>
      <c r="C275" s="393" t="s">
        <v>704</v>
      </c>
      <c r="D275" s="394">
        <v>30069129</v>
      </c>
      <c r="E275" s="393">
        <v>6351</v>
      </c>
      <c r="F275" s="395"/>
      <c r="G275" s="394" t="s">
        <v>707</v>
      </c>
      <c r="H275" s="394"/>
      <c r="I275" s="394"/>
      <c r="J275" s="396"/>
      <c r="K275" s="396"/>
      <c r="L275" s="397">
        <v>3000</v>
      </c>
      <c r="M275" s="398">
        <v>2000</v>
      </c>
      <c r="N275" s="398">
        <v>2000</v>
      </c>
      <c r="O275" s="396">
        <v>2000</v>
      </c>
      <c r="P275" s="399">
        <f t="shared" si="45"/>
        <v>1</v>
      </c>
      <c r="Q275" s="398">
        <v>4000</v>
      </c>
      <c r="R275" s="400"/>
      <c r="S275" s="401"/>
      <c r="T275" s="402" t="s">
        <v>708</v>
      </c>
      <c r="U275" s="403"/>
      <c r="V275" s="404">
        <f t="shared" si="34"/>
        <v>0</v>
      </c>
      <c r="W275" s="405" t="str">
        <f>IF(AND(P275&lt;[3]koment!$F$1,N275&gt;=[3]koment!$F$2),"Komentovat","")</f>
        <v/>
      </c>
      <c r="X275" s="406">
        <f t="shared" si="49"/>
        <v>26</v>
      </c>
      <c r="Y275" s="404" t="str">
        <f t="shared" si="35"/>
        <v xml:space="preserve"> </v>
      </c>
      <c r="Z275" s="407">
        <f t="shared" si="36"/>
        <v>0</v>
      </c>
      <c r="AA275" s="408" t="str">
        <f t="shared" si="37"/>
        <v>73003312300691296351</v>
      </c>
      <c r="AB275" s="388"/>
      <c r="AC275" s="409">
        <f t="shared" si="48"/>
        <v>0</v>
      </c>
      <c r="AD275" s="388"/>
      <c r="AE275" s="388"/>
      <c r="AF275" s="388"/>
    </row>
    <row r="276" spans="1:32" outlineLevel="1" x14ac:dyDescent="0.2">
      <c r="A276" s="391">
        <f t="shared" si="44"/>
        <v>274</v>
      </c>
      <c r="B276" s="392"/>
      <c r="C276" s="424" t="s">
        <v>709</v>
      </c>
      <c r="D276" s="394"/>
      <c r="E276" s="393"/>
      <c r="F276" s="395"/>
      <c r="G276" s="394"/>
      <c r="H276" s="394"/>
      <c r="I276" s="394"/>
      <c r="J276" s="396">
        <f t="shared" ref="J276:O276" si="51">SUBTOTAL(9,J274:J275)</f>
        <v>1284998</v>
      </c>
      <c r="K276" s="396">
        <f t="shared" si="51"/>
        <v>0</v>
      </c>
      <c r="L276" s="397">
        <f t="shared" si="51"/>
        <v>16245</v>
      </c>
      <c r="M276" s="398">
        <f t="shared" si="51"/>
        <v>22000</v>
      </c>
      <c r="N276" s="398">
        <f t="shared" si="51"/>
        <v>22000</v>
      </c>
      <c r="O276" s="396">
        <f t="shared" si="51"/>
        <v>5010</v>
      </c>
      <c r="P276" s="399">
        <f t="shared" si="45"/>
        <v>0.22772727272727272</v>
      </c>
      <c r="Q276" s="398">
        <f>SUBTOTAL(9,Q274:Q275)</f>
        <v>19000</v>
      </c>
      <c r="R276" s="400">
        <f>SUBTOTAL(9,R274:R275)</f>
        <v>450000</v>
      </c>
      <c r="S276" s="401">
        <f>SUBTOTAL(9,S274:S275)</f>
        <v>786753</v>
      </c>
      <c r="T276" s="402"/>
      <c r="U276" s="403"/>
      <c r="V276" s="404"/>
      <c r="W276" s="405"/>
      <c r="X276" s="406"/>
      <c r="Y276" s="404" t="str">
        <f>IF($V276=0," ",IF(LEN($B276)=4,$B276*1,$B276))</f>
        <v xml:space="preserve"> </v>
      </c>
      <c r="Z276" s="407">
        <f>IF($Y276=" ",0,"ORG "&amp;$D276&amp;" - "&amp;$G276)</f>
        <v>0</v>
      </c>
      <c r="AA276" s="408" t="str">
        <f>$B276&amp;LEFT($C276,4)&amp;$D276&amp;$E276&amp;$F276</f>
        <v>Celk</v>
      </c>
      <c r="AB276" s="388"/>
      <c r="AC276" s="409"/>
      <c r="AD276" s="388"/>
      <c r="AE276" s="388"/>
      <c r="AF276" s="388"/>
    </row>
    <row r="277" spans="1:32" outlineLevel="2" x14ac:dyDescent="0.2">
      <c r="A277" s="391">
        <f t="shared" si="44"/>
        <v>275</v>
      </c>
      <c r="B277" s="419" t="s">
        <v>420</v>
      </c>
      <c r="C277" s="393" t="s">
        <v>710</v>
      </c>
      <c r="D277" s="393">
        <v>2715</v>
      </c>
      <c r="E277" s="393">
        <v>6121</v>
      </c>
      <c r="F277" s="435"/>
      <c r="G277" s="425" t="s">
        <v>711</v>
      </c>
      <c r="H277" s="393">
        <v>2015</v>
      </c>
      <c r="I277" s="393">
        <v>2017</v>
      </c>
      <c r="J277" s="437">
        <v>2000</v>
      </c>
      <c r="K277" s="437"/>
      <c r="L277" s="438">
        <v>0</v>
      </c>
      <c r="M277" s="398">
        <v>2000</v>
      </c>
      <c r="N277" s="398">
        <v>1200</v>
      </c>
      <c r="O277" s="437">
        <v>852</v>
      </c>
      <c r="P277" s="399">
        <f t="shared" si="45"/>
        <v>0.71</v>
      </c>
      <c r="Q277" s="398">
        <v>800</v>
      </c>
      <c r="R277" s="400"/>
      <c r="S277" s="401"/>
      <c r="T277" s="402" t="s">
        <v>423</v>
      </c>
      <c r="U277" s="403"/>
      <c r="V277" s="404">
        <f t="shared" ref="V277:V356" si="52">IF(LEN($D277)=4,(J277-L277-N277-Q277-R277-S277),0)</f>
        <v>0</v>
      </c>
      <c r="W277" s="405" t="str">
        <f>IF(AND(P277&lt;[3]koment!$F$1,N277&gt;=[3]koment!$F$2),"Komentovat","")</f>
        <v>Komentovat</v>
      </c>
      <c r="X277" s="406">
        <f>IF(W277="Komentovat",X275+1,X275)</f>
        <v>27</v>
      </c>
      <c r="Y277" s="404" t="str">
        <f t="shared" ref="Y277:Y356" si="53">IF($V277=0," ",IF(LEN($B277)=4,$B277*1,$B277))</f>
        <v xml:space="preserve"> </v>
      </c>
      <c r="Z277" s="407">
        <f t="shared" ref="Z277:Z356" si="54">IF($Y277=" ",0,"ORG "&amp;$D277&amp;" - "&amp;$G277)</f>
        <v>0</v>
      </c>
      <c r="AA277" s="408" t="str">
        <f t="shared" ref="AA277:AA356" si="55">$B277&amp;LEFT($C277,4)&amp;$D277&amp;$E277&amp;$F277</f>
        <v>5600331427156121</v>
      </c>
      <c r="AB277" s="388"/>
      <c r="AC277" s="409">
        <f t="shared" si="48"/>
        <v>0</v>
      </c>
      <c r="AD277" s="388"/>
      <c r="AE277" s="388"/>
      <c r="AF277" s="388"/>
    </row>
    <row r="278" spans="1:32" outlineLevel="2" x14ac:dyDescent="0.2">
      <c r="A278" s="391">
        <f t="shared" si="44"/>
        <v>276</v>
      </c>
      <c r="B278" s="392" t="s">
        <v>668</v>
      </c>
      <c r="C278" s="393" t="s">
        <v>710</v>
      </c>
      <c r="D278" s="394">
        <v>5208</v>
      </c>
      <c r="E278" s="393">
        <v>6356</v>
      </c>
      <c r="F278" s="427" t="s">
        <v>490</v>
      </c>
      <c r="G278" s="394" t="s">
        <v>712</v>
      </c>
      <c r="H278" s="394">
        <v>2015</v>
      </c>
      <c r="I278" s="394">
        <v>2016</v>
      </c>
      <c r="J278" s="396">
        <v>10113</v>
      </c>
      <c r="K278" s="396"/>
      <c r="L278" s="397"/>
      <c r="M278" s="398"/>
      <c r="N278" s="398">
        <v>4642</v>
      </c>
      <c r="O278" s="396">
        <v>4642</v>
      </c>
      <c r="P278" s="399">
        <f t="shared" si="45"/>
        <v>1</v>
      </c>
      <c r="Q278" s="398"/>
      <c r="R278" s="400"/>
      <c r="S278" s="401"/>
      <c r="T278" s="402" t="s">
        <v>713</v>
      </c>
      <c r="U278" s="403"/>
      <c r="V278" s="404">
        <f t="shared" si="52"/>
        <v>5471</v>
      </c>
      <c r="W278" s="405" t="str">
        <f>IF(AND(P278&lt;[3]koment!$F$1,N278&gt;=[3]koment!$F$2),"Komentovat","")</f>
        <v/>
      </c>
      <c r="X278" s="406">
        <f t="shared" ref="X278:X341" si="56">IF(W278="Komentovat",X277+1,X277)</f>
        <v>27</v>
      </c>
      <c r="Y278" s="404">
        <f t="shared" si="53"/>
        <v>5900</v>
      </c>
      <c r="Z278" s="407" t="str">
        <f t="shared" si="54"/>
        <v>ORG 5208 - Knihovna pro město II. - vzdělávání na míru</v>
      </c>
      <c r="AA278" s="408" t="str">
        <f t="shared" si="55"/>
        <v>5900331452086356EU</v>
      </c>
      <c r="AB278" s="388"/>
      <c r="AC278" s="409">
        <f t="shared" si="48"/>
        <v>5471</v>
      </c>
      <c r="AD278" s="388"/>
      <c r="AE278" s="388"/>
      <c r="AF278" s="388"/>
    </row>
    <row r="279" spans="1:32" outlineLevel="1" x14ac:dyDescent="0.2">
      <c r="A279" s="391">
        <f t="shared" si="44"/>
        <v>277</v>
      </c>
      <c r="B279" s="392"/>
      <c r="C279" s="424" t="s">
        <v>714</v>
      </c>
      <c r="D279" s="394"/>
      <c r="E279" s="393"/>
      <c r="F279" s="427"/>
      <c r="G279" s="394"/>
      <c r="H279" s="394"/>
      <c r="I279" s="394"/>
      <c r="J279" s="396">
        <f t="shared" ref="J279:O279" si="57">SUBTOTAL(9,J277:J278)</f>
        <v>12113</v>
      </c>
      <c r="K279" s="396">
        <f t="shared" si="57"/>
        <v>0</v>
      </c>
      <c r="L279" s="397">
        <f t="shared" si="57"/>
        <v>0</v>
      </c>
      <c r="M279" s="398">
        <f t="shared" si="57"/>
        <v>2000</v>
      </c>
      <c r="N279" s="398">
        <f t="shared" si="57"/>
        <v>5842</v>
      </c>
      <c r="O279" s="396">
        <f t="shared" si="57"/>
        <v>5494</v>
      </c>
      <c r="P279" s="399">
        <f t="shared" si="45"/>
        <v>0.94043135912358777</v>
      </c>
      <c r="Q279" s="398">
        <f>SUBTOTAL(9,Q277:Q278)</f>
        <v>800</v>
      </c>
      <c r="R279" s="400">
        <f>SUBTOTAL(9,R277:R278)</f>
        <v>0</v>
      </c>
      <c r="S279" s="401">
        <f>SUBTOTAL(9,S277:S278)</f>
        <v>0</v>
      </c>
      <c r="T279" s="402"/>
      <c r="U279" s="403"/>
      <c r="V279" s="404"/>
      <c r="W279" s="405"/>
      <c r="X279" s="406"/>
      <c r="Y279" s="404" t="str">
        <f>IF($V279=0," ",IF(LEN($B279)=4,$B279*1,$B279))</f>
        <v xml:space="preserve"> </v>
      </c>
      <c r="Z279" s="407">
        <f>IF($Y279=" ",0,"ORG "&amp;$D279&amp;" - "&amp;$G279)</f>
        <v>0</v>
      </c>
      <c r="AA279" s="408" t="str">
        <f>$B279&amp;LEFT($C279,4)&amp;$D279&amp;$E279&amp;$F279</f>
        <v>Celk</v>
      </c>
      <c r="AB279" s="388"/>
      <c r="AC279" s="409"/>
      <c r="AD279" s="388"/>
      <c r="AE279" s="388"/>
      <c r="AF279" s="388"/>
    </row>
    <row r="280" spans="1:32" outlineLevel="2" x14ac:dyDescent="0.2">
      <c r="A280" s="391">
        <f t="shared" si="44"/>
        <v>278</v>
      </c>
      <c r="B280" s="392" t="s">
        <v>697</v>
      </c>
      <c r="C280" s="393" t="s">
        <v>715</v>
      </c>
      <c r="D280" s="394">
        <v>30069128</v>
      </c>
      <c r="E280" s="393">
        <v>6351</v>
      </c>
      <c r="F280" s="395"/>
      <c r="G280" s="449" t="s">
        <v>716</v>
      </c>
      <c r="H280" s="394"/>
      <c r="I280" s="394"/>
      <c r="J280" s="396"/>
      <c r="K280" s="396"/>
      <c r="L280" s="397">
        <v>766</v>
      </c>
      <c r="M280" s="398">
        <v>1600</v>
      </c>
      <c r="N280" s="398">
        <v>2496</v>
      </c>
      <c r="O280" s="396">
        <v>2475</v>
      </c>
      <c r="P280" s="399">
        <f t="shared" si="45"/>
        <v>0.99158653846153844</v>
      </c>
      <c r="Q280" s="398">
        <v>1500</v>
      </c>
      <c r="R280" s="400"/>
      <c r="S280" s="401"/>
      <c r="T280" s="402" t="s">
        <v>717</v>
      </c>
      <c r="U280" s="403"/>
      <c r="V280" s="404">
        <f t="shared" si="52"/>
        <v>0</v>
      </c>
      <c r="W280" s="405" t="str">
        <f>IF(AND(P280&lt;[3]koment!$F$1,N280&gt;=[3]koment!$F$2),"Komentovat","")</f>
        <v/>
      </c>
      <c r="X280" s="406">
        <f>IF(W280="Komentovat",X278+1,X278)</f>
        <v>27</v>
      </c>
      <c r="Y280" s="404" t="str">
        <f t="shared" si="53"/>
        <v xml:space="preserve"> </v>
      </c>
      <c r="Z280" s="407">
        <f t="shared" si="54"/>
        <v>0</v>
      </c>
      <c r="AA280" s="408" t="str">
        <f t="shared" si="55"/>
        <v>73003315300691286351</v>
      </c>
      <c r="AB280" s="388"/>
      <c r="AC280" s="409">
        <f t="shared" si="48"/>
        <v>0</v>
      </c>
      <c r="AD280" s="388"/>
      <c r="AE280" s="388"/>
      <c r="AF280" s="388"/>
    </row>
    <row r="281" spans="1:32" outlineLevel="2" x14ac:dyDescent="0.2">
      <c r="A281" s="391">
        <f t="shared" si="44"/>
        <v>279</v>
      </c>
      <c r="B281" s="392" t="s">
        <v>697</v>
      </c>
      <c r="C281" s="393" t="s">
        <v>715</v>
      </c>
      <c r="D281" s="394">
        <v>30069128</v>
      </c>
      <c r="E281" s="393">
        <v>6356</v>
      </c>
      <c r="F281" s="395"/>
      <c r="G281" s="449" t="s">
        <v>716</v>
      </c>
      <c r="H281" s="394"/>
      <c r="I281" s="394"/>
      <c r="J281" s="396"/>
      <c r="K281" s="396"/>
      <c r="L281" s="397"/>
      <c r="M281" s="398"/>
      <c r="N281" s="398">
        <v>100</v>
      </c>
      <c r="O281" s="396">
        <v>100</v>
      </c>
      <c r="P281" s="399">
        <f t="shared" si="45"/>
        <v>1</v>
      </c>
      <c r="Q281" s="398"/>
      <c r="R281" s="400"/>
      <c r="S281" s="401"/>
      <c r="T281" s="402" t="s">
        <v>717</v>
      </c>
      <c r="U281" s="403"/>
      <c r="V281" s="404">
        <f t="shared" si="52"/>
        <v>0</v>
      </c>
      <c r="W281" s="405" t="str">
        <f>IF(AND(P281&lt;[3]koment!$F$1,N281&gt;=[3]koment!$F$2),"Komentovat","")</f>
        <v/>
      </c>
      <c r="X281" s="406">
        <f t="shared" si="56"/>
        <v>27</v>
      </c>
      <c r="Y281" s="404" t="str">
        <f t="shared" si="53"/>
        <v xml:space="preserve"> </v>
      </c>
      <c r="Z281" s="407">
        <f t="shared" si="54"/>
        <v>0</v>
      </c>
      <c r="AA281" s="408" t="str">
        <f t="shared" si="55"/>
        <v>73003315300691286356</v>
      </c>
      <c r="AB281" s="388"/>
      <c r="AC281" s="409">
        <f t="shared" si="48"/>
        <v>0</v>
      </c>
      <c r="AD281" s="388"/>
      <c r="AE281" s="388"/>
      <c r="AF281" s="388"/>
    </row>
    <row r="282" spans="1:32" outlineLevel="1" x14ac:dyDescent="0.2">
      <c r="A282" s="391">
        <f t="shared" si="44"/>
        <v>280</v>
      </c>
      <c r="B282" s="392"/>
      <c r="C282" s="424" t="s">
        <v>718</v>
      </c>
      <c r="D282" s="394"/>
      <c r="E282" s="393"/>
      <c r="F282" s="395"/>
      <c r="G282" s="449"/>
      <c r="H282" s="394"/>
      <c r="I282" s="394"/>
      <c r="J282" s="396">
        <f t="shared" ref="J282:O282" si="58">SUBTOTAL(9,J280:J281)</f>
        <v>0</v>
      </c>
      <c r="K282" s="396">
        <f t="shared" si="58"/>
        <v>0</v>
      </c>
      <c r="L282" s="397">
        <f t="shared" si="58"/>
        <v>766</v>
      </c>
      <c r="M282" s="398">
        <f t="shared" si="58"/>
        <v>1600</v>
      </c>
      <c r="N282" s="398">
        <f t="shared" si="58"/>
        <v>2596</v>
      </c>
      <c r="O282" s="396">
        <f t="shared" si="58"/>
        <v>2575</v>
      </c>
      <c r="P282" s="399">
        <f t="shared" si="45"/>
        <v>0.99191063174114025</v>
      </c>
      <c r="Q282" s="398">
        <f>SUBTOTAL(9,Q280:Q281)</f>
        <v>1500</v>
      </c>
      <c r="R282" s="400">
        <f>SUBTOTAL(9,R280:R281)</f>
        <v>0</v>
      </c>
      <c r="S282" s="401">
        <f>SUBTOTAL(9,S280:S281)</f>
        <v>0</v>
      </c>
      <c r="T282" s="402"/>
      <c r="U282" s="403"/>
      <c r="V282" s="404"/>
      <c r="W282" s="405"/>
      <c r="X282" s="406"/>
      <c r="Y282" s="404" t="str">
        <f>IF($V282=0," ",IF(LEN($B282)=4,$B282*1,$B282))</f>
        <v xml:space="preserve"> </v>
      </c>
      <c r="Z282" s="407">
        <f>IF($Y282=" ",0,"ORG "&amp;$D282&amp;" - "&amp;$G282)</f>
        <v>0</v>
      </c>
      <c r="AA282" s="408" t="str">
        <f>$B282&amp;LEFT($C282,4)&amp;$D282&amp;$E282&amp;$F282</f>
        <v>Celk</v>
      </c>
      <c r="AB282" s="388"/>
      <c r="AC282" s="409"/>
      <c r="AD282" s="388"/>
      <c r="AE282" s="388"/>
      <c r="AF282" s="388"/>
    </row>
    <row r="283" spans="1:32" outlineLevel="2" x14ac:dyDescent="0.2">
      <c r="A283" s="391">
        <f t="shared" si="44"/>
        <v>281</v>
      </c>
      <c r="B283" s="392" t="s">
        <v>420</v>
      </c>
      <c r="C283" s="393" t="s">
        <v>719</v>
      </c>
      <c r="D283" s="394">
        <v>2697</v>
      </c>
      <c r="E283" s="393">
        <v>6121</v>
      </c>
      <c r="F283" s="395"/>
      <c r="G283" s="449" t="s">
        <v>720</v>
      </c>
      <c r="H283" s="394">
        <v>2016</v>
      </c>
      <c r="I283" s="394">
        <v>2017</v>
      </c>
      <c r="J283" s="396">
        <v>278</v>
      </c>
      <c r="K283" s="396"/>
      <c r="L283" s="397">
        <v>0</v>
      </c>
      <c r="M283" s="398">
        <v>140</v>
      </c>
      <c r="N283" s="398">
        <v>15</v>
      </c>
      <c r="O283" s="396">
        <v>15</v>
      </c>
      <c r="P283" s="399">
        <f t="shared" si="45"/>
        <v>1</v>
      </c>
      <c r="Q283" s="398">
        <v>263</v>
      </c>
      <c r="R283" s="400"/>
      <c r="S283" s="401"/>
      <c r="T283" s="402" t="s">
        <v>423</v>
      </c>
      <c r="U283" s="403"/>
      <c r="V283" s="404">
        <f t="shared" si="52"/>
        <v>0</v>
      </c>
      <c r="W283" s="405" t="str">
        <f>IF(AND(P283&lt;[3]koment!$F$1,N283&gt;=[3]koment!$F$2),"Komentovat","")</f>
        <v/>
      </c>
      <c r="X283" s="406">
        <f>IF(W283="Komentovat",X281+1,X281)</f>
        <v>27</v>
      </c>
      <c r="Y283" s="404" t="str">
        <f t="shared" si="53"/>
        <v xml:space="preserve"> </v>
      </c>
      <c r="Z283" s="407">
        <f t="shared" si="54"/>
        <v>0</v>
      </c>
      <c r="AA283" s="408" t="str">
        <f t="shared" si="55"/>
        <v>5600331726976121</v>
      </c>
      <c r="AB283" s="388"/>
      <c r="AC283" s="409">
        <f t="shared" si="48"/>
        <v>0</v>
      </c>
      <c r="AD283" s="388"/>
      <c r="AE283" s="388"/>
      <c r="AF283" s="388"/>
    </row>
    <row r="284" spans="1:32" outlineLevel="1" x14ac:dyDescent="0.2">
      <c r="A284" s="391">
        <f t="shared" si="44"/>
        <v>282</v>
      </c>
      <c r="B284" s="392"/>
      <c r="C284" s="424" t="s">
        <v>721</v>
      </c>
      <c r="D284" s="394"/>
      <c r="E284" s="393"/>
      <c r="F284" s="395"/>
      <c r="G284" s="449"/>
      <c r="H284" s="394"/>
      <c r="I284" s="394"/>
      <c r="J284" s="396">
        <f t="shared" ref="J284:O284" si="59">SUBTOTAL(9,J283:J283)</f>
        <v>278</v>
      </c>
      <c r="K284" s="396">
        <f t="shared" si="59"/>
        <v>0</v>
      </c>
      <c r="L284" s="397">
        <f t="shared" si="59"/>
        <v>0</v>
      </c>
      <c r="M284" s="398">
        <f t="shared" si="59"/>
        <v>140</v>
      </c>
      <c r="N284" s="398">
        <f t="shared" si="59"/>
        <v>15</v>
      </c>
      <c r="O284" s="396">
        <f t="shared" si="59"/>
        <v>15</v>
      </c>
      <c r="P284" s="399">
        <f t="shared" si="45"/>
        <v>1</v>
      </c>
      <c r="Q284" s="398">
        <f>SUBTOTAL(9,Q283:Q283)</f>
        <v>263</v>
      </c>
      <c r="R284" s="400">
        <f>SUBTOTAL(9,R283:R283)</f>
        <v>0</v>
      </c>
      <c r="S284" s="401">
        <f>SUBTOTAL(9,S283:S283)</f>
        <v>0</v>
      </c>
      <c r="T284" s="402"/>
      <c r="U284" s="403"/>
      <c r="V284" s="404"/>
      <c r="W284" s="405"/>
      <c r="X284" s="406"/>
      <c r="Y284" s="404" t="str">
        <f>IF($V284=0," ",IF(LEN($B284)=4,$B284*1,$B284))</f>
        <v xml:space="preserve"> </v>
      </c>
      <c r="Z284" s="407">
        <f>IF($Y284=" ",0,"ORG "&amp;$D284&amp;" - "&amp;$G284)</f>
        <v>0</v>
      </c>
      <c r="AA284" s="408" t="str">
        <f>$B284&amp;LEFT($C284,4)&amp;$D284&amp;$E284&amp;$F284</f>
        <v>Celk</v>
      </c>
      <c r="AB284" s="388"/>
      <c r="AC284" s="409"/>
      <c r="AD284" s="388"/>
      <c r="AE284" s="388"/>
      <c r="AF284" s="388"/>
    </row>
    <row r="285" spans="1:32" outlineLevel="2" x14ac:dyDescent="0.2">
      <c r="A285" s="391">
        <f t="shared" si="44"/>
        <v>283</v>
      </c>
      <c r="B285" s="392" t="s">
        <v>697</v>
      </c>
      <c r="C285" s="393" t="s">
        <v>722</v>
      </c>
      <c r="D285" s="394">
        <v>30069127</v>
      </c>
      <c r="E285" s="393">
        <v>6351</v>
      </c>
      <c r="F285" s="395"/>
      <c r="G285" s="426" t="s">
        <v>723</v>
      </c>
      <c r="H285" s="394"/>
      <c r="I285" s="394"/>
      <c r="J285" s="396"/>
      <c r="K285" s="396"/>
      <c r="L285" s="397"/>
      <c r="M285" s="398"/>
      <c r="N285" s="398">
        <v>4850</v>
      </c>
      <c r="O285" s="396">
        <v>4804</v>
      </c>
      <c r="P285" s="399">
        <f t="shared" si="45"/>
        <v>0.99051546391752576</v>
      </c>
      <c r="Q285" s="398"/>
      <c r="R285" s="400"/>
      <c r="S285" s="401"/>
      <c r="T285" s="402" t="s">
        <v>724</v>
      </c>
      <c r="U285" s="403"/>
      <c r="V285" s="404">
        <f t="shared" si="52"/>
        <v>0</v>
      </c>
      <c r="W285" s="405" t="str">
        <f>IF(AND(P285&lt;[3]koment!$F$1,N285&gt;=[3]koment!$F$2),"Komentovat","")</f>
        <v/>
      </c>
      <c r="X285" s="406">
        <f>IF(W285="Komentovat",X283+1,X283)</f>
        <v>27</v>
      </c>
      <c r="Y285" s="404" t="str">
        <f t="shared" si="53"/>
        <v xml:space="preserve"> </v>
      </c>
      <c r="Z285" s="407">
        <f t="shared" si="54"/>
        <v>0</v>
      </c>
      <c r="AA285" s="408" t="str">
        <f t="shared" si="55"/>
        <v>73003319300691276351</v>
      </c>
      <c r="AB285" s="388"/>
      <c r="AC285" s="409">
        <f t="shared" si="48"/>
        <v>0</v>
      </c>
      <c r="AD285" s="388"/>
      <c r="AE285" s="388"/>
      <c r="AF285" s="388"/>
    </row>
    <row r="286" spans="1:32" outlineLevel="1" x14ac:dyDescent="0.2">
      <c r="A286" s="391">
        <f t="shared" si="44"/>
        <v>284</v>
      </c>
      <c r="B286" s="392"/>
      <c r="C286" s="424" t="s">
        <v>725</v>
      </c>
      <c r="D286" s="394"/>
      <c r="E286" s="393"/>
      <c r="F286" s="395"/>
      <c r="G286" s="426"/>
      <c r="H286" s="394"/>
      <c r="I286" s="394"/>
      <c r="J286" s="396">
        <f t="shared" ref="J286:O286" si="60">SUBTOTAL(9,J285:J285)</f>
        <v>0</v>
      </c>
      <c r="K286" s="396">
        <f t="shared" si="60"/>
        <v>0</v>
      </c>
      <c r="L286" s="397">
        <f t="shared" si="60"/>
        <v>0</v>
      </c>
      <c r="M286" s="398">
        <f t="shared" si="60"/>
        <v>0</v>
      </c>
      <c r="N286" s="398">
        <f t="shared" si="60"/>
        <v>4850</v>
      </c>
      <c r="O286" s="396">
        <f t="shared" si="60"/>
        <v>4804</v>
      </c>
      <c r="P286" s="399">
        <f t="shared" si="45"/>
        <v>0.99051546391752576</v>
      </c>
      <c r="Q286" s="398">
        <f>SUBTOTAL(9,Q285:Q285)</f>
        <v>0</v>
      </c>
      <c r="R286" s="400">
        <f>SUBTOTAL(9,R285:R285)</f>
        <v>0</v>
      </c>
      <c r="S286" s="401">
        <f>SUBTOTAL(9,S285:S285)</f>
        <v>0</v>
      </c>
      <c r="T286" s="402"/>
      <c r="U286" s="403"/>
      <c r="V286" s="404"/>
      <c r="W286" s="405"/>
      <c r="X286" s="406"/>
      <c r="Y286" s="404" t="str">
        <f>IF($V286=0," ",IF(LEN($B286)=4,$B286*1,$B286))</f>
        <v xml:space="preserve"> </v>
      </c>
      <c r="Z286" s="407">
        <f>IF($Y286=" ",0,"ORG "&amp;$D286&amp;" - "&amp;$G286)</f>
        <v>0</v>
      </c>
      <c r="AA286" s="408" t="str">
        <f>$B286&amp;LEFT($C286,4)&amp;$D286&amp;$E286&amp;$F286</f>
        <v>Celk</v>
      </c>
      <c r="AB286" s="388"/>
      <c r="AC286" s="409"/>
      <c r="AD286" s="388"/>
      <c r="AE286" s="388"/>
      <c r="AF286" s="388"/>
    </row>
    <row r="287" spans="1:32" outlineLevel="2" x14ac:dyDescent="0.2">
      <c r="A287" s="391">
        <f t="shared" si="44"/>
        <v>285</v>
      </c>
      <c r="B287" s="392" t="s">
        <v>420</v>
      </c>
      <c r="C287" s="393" t="s">
        <v>726</v>
      </c>
      <c r="D287" s="394">
        <v>2825</v>
      </c>
      <c r="E287" s="393">
        <v>6121</v>
      </c>
      <c r="F287" s="395"/>
      <c r="G287" s="394" t="s">
        <v>727</v>
      </c>
      <c r="H287" s="394">
        <v>2014</v>
      </c>
      <c r="I287" s="394">
        <v>2016</v>
      </c>
      <c r="J287" s="396">
        <f>9300+477</f>
        <v>9777</v>
      </c>
      <c r="K287" s="396"/>
      <c r="L287" s="397"/>
      <c r="M287" s="398"/>
      <c r="N287" s="398">
        <v>10</v>
      </c>
      <c r="O287" s="396">
        <v>10</v>
      </c>
      <c r="P287" s="399">
        <f t="shared" si="45"/>
        <v>1</v>
      </c>
      <c r="Q287" s="398"/>
      <c r="R287" s="400"/>
      <c r="S287" s="401"/>
      <c r="T287" s="402" t="s">
        <v>423</v>
      </c>
      <c r="U287" s="403"/>
      <c r="V287" s="404">
        <f t="shared" si="52"/>
        <v>9767</v>
      </c>
      <c r="W287" s="405" t="str">
        <f>IF(AND(P287&lt;[3]koment!$F$1,N287&gt;=[3]koment!$F$2),"Komentovat","")</f>
        <v/>
      </c>
      <c r="X287" s="406">
        <f>IF(W287="Komentovat",X285+1,X285)</f>
        <v>27</v>
      </c>
      <c r="Y287" s="404">
        <f t="shared" si="53"/>
        <v>5600</v>
      </c>
      <c r="Z287" s="407" t="str">
        <f t="shared" si="54"/>
        <v>ORG 2825 - NKP Špilberk - statické zajištění hradebních plent a mostu</v>
      </c>
      <c r="AA287" s="408" t="str">
        <f t="shared" si="55"/>
        <v>5600332228256121</v>
      </c>
      <c r="AB287" s="388"/>
      <c r="AC287" s="409">
        <f t="shared" si="48"/>
        <v>9767</v>
      </c>
      <c r="AD287" s="388"/>
      <c r="AE287" s="388"/>
      <c r="AF287" s="388"/>
    </row>
    <row r="288" spans="1:32" outlineLevel="2" x14ac:dyDescent="0.2">
      <c r="A288" s="391">
        <f t="shared" si="44"/>
        <v>286</v>
      </c>
      <c r="B288" s="419">
        <v>5600</v>
      </c>
      <c r="C288" s="393" t="s">
        <v>726</v>
      </c>
      <c r="D288" s="393">
        <v>4530</v>
      </c>
      <c r="E288" s="393">
        <v>6121</v>
      </c>
      <c r="F288" s="402"/>
      <c r="G288" s="394" t="s">
        <v>728</v>
      </c>
      <c r="H288" s="423">
        <v>2001</v>
      </c>
      <c r="I288" s="393">
        <v>2020</v>
      </c>
      <c r="J288" s="420">
        <v>317310</v>
      </c>
      <c r="K288" s="420"/>
      <c r="L288" s="420">
        <v>198582</v>
      </c>
      <c r="M288" s="421">
        <v>4000</v>
      </c>
      <c r="N288" s="421">
        <v>1000</v>
      </c>
      <c r="O288" s="420">
        <v>882</v>
      </c>
      <c r="P288" s="399">
        <f t="shared" si="45"/>
        <v>0.88200000000000001</v>
      </c>
      <c r="Q288" s="421">
        <v>13000</v>
      </c>
      <c r="R288" s="400">
        <v>12000</v>
      </c>
      <c r="S288" s="401">
        <v>92728</v>
      </c>
      <c r="T288" s="402" t="s">
        <v>423</v>
      </c>
      <c r="U288" s="403"/>
      <c r="V288" s="404">
        <f t="shared" si="52"/>
        <v>0</v>
      </c>
      <c r="W288" s="405" t="str">
        <f>IF(AND(P288&lt;[3]koment!$F$1,N288&gt;=[3]koment!$F$2),"Komentovat","")</f>
        <v/>
      </c>
      <c r="X288" s="406">
        <f t="shared" si="56"/>
        <v>27</v>
      </c>
      <c r="Y288" s="404" t="str">
        <f t="shared" si="53"/>
        <v xml:space="preserve"> </v>
      </c>
      <c r="Z288" s="407">
        <f t="shared" si="54"/>
        <v>0</v>
      </c>
      <c r="AA288" s="408" t="str">
        <f t="shared" si="55"/>
        <v>5600332245306121</v>
      </c>
      <c r="AB288" s="388"/>
      <c r="AC288" s="409">
        <f t="shared" si="48"/>
        <v>0</v>
      </c>
      <c r="AD288" s="388"/>
      <c r="AE288" s="388"/>
      <c r="AF288" s="388"/>
    </row>
    <row r="289" spans="1:32" outlineLevel="2" x14ac:dyDescent="0.2">
      <c r="A289" s="391">
        <f t="shared" si="44"/>
        <v>287</v>
      </c>
      <c r="B289" s="422" t="s">
        <v>420</v>
      </c>
      <c r="C289" s="393" t="s">
        <v>726</v>
      </c>
      <c r="D289" s="393">
        <v>5196</v>
      </c>
      <c r="E289" s="393">
        <v>6121</v>
      </c>
      <c r="F289" s="427" t="s">
        <v>490</v>
      </c>
      <c r="G289" s="394" t="s">
        <v>729</v>
      </c>
      <c r="H289" s="423">
        <v>2014</v>
      </c>
      <c r="I289" s="393">
        <v>2018</v>
      </c>
      <c r="J289" s="420">
        <v>2240</v>
      </c>
      <c r="K289" s="420"/>
      <c r="L289" s="420">
        <v>2239</v>
      </c>
      <c r="M289" s="421">
        <v>1000</v>
      </c>
      <c r="N289" s="421">
        <v>0</v>
      </c>
      <c r="O289" s="420"/>
      <c r="P289" s="399" t="str">
        <f t="shared" si="45"/>
        <v xml:space="preserve"> </v>
      </c>
      <c r="Q289" s="421"/>
      <c r="R289" s="400"/>
      <c r="S289" s="401"/>
      <c r="T289" s="402" t="s">
        <v>423</v>
      </c>
      <c r="U289" s="403"/>
      <c r="V289" s="404">
        <f t="shared" si="52"/>
        <v>1</v>
      </c>
      <c r="W289" s="405" t="str">
        <f>IF(AND(P289&lt;[3]koment!$F$1,N289&gt;=[3]koment!$F$2),"Komentovat","")</f>
        <v/>
      </c>
      <c r="X289" s="406">
        <f t="shared" si="56"/>
        <v>27</v>
      </c>
      <c r="Y289" s="404">
        <f t="shared" si="53"/>
        <v>5600</v>
      </c>
      <c r="Z289" s="407" t="str">
        <f t="shared" si="54"/>
        <v>ORG 5196 - NKP Špilberk - lapidárium a centrum restaurátorských činností</v>
      </c>
      <c r="AA289" s="408" t="str">
        <f t="shared" si="55"/>
        <v>5600332251966121EU</v>
      </c>
      <c r="AB289" s="388"/>
      <c r="AC289" s="409">
        <f t="shared" si="48"/>
        <v>1</v>
      </c>
      <c r="AD289" s="388"/>
      <c r="AE289" s="388"/>
      <c r="AF289" s="388"/>
    </row>
    <row r="290" spans="1:32" outlineLevel="2" x14ac:dyDescent="0.2">
      <c r="A290" s="391">
        <f t="shared" si="44"/>
        <v>288</v>
      </c>
      <c r="B290" s="419">
        <v>5600</v>
      </c>
      <c r="C290" s="393" t="s">
        <v>726</v>
      </c>
      <c r="D290" s="393">
        <v>5307</v>
      </c>
      <c r="E290" s="393">
        <v>6121</v>
      </c>
      <c r="F290" s="427" t="s">
        <v>490</v>
      </c>
      <c r="G290" s="394" t="s">
        <v>730</v>
      </c>
      <c r="H290" s="393">
        <v>2016</v>
      </c>
      <c r="I290" s="393">
        <v>2020</v>
      </c>
      <c r="J290" s="420">
        <v>110700</v>
      </c>
      <c r="K290" s="420"/>
      <c r="L290" s="420">
        <v>0</v>
      </c>
      <c r="M290" s="421"/>
      <c r="N290" s="421">
        <v>1000</v>
      </c>
      <c r="O290" s="420">
        <v>408</v>
      </c>
      <c r="P290" s="399">
        <f t="shared" si="45"/>
        <v>0.40799999999999997</v>
      </c>
      <c r="Q290" s="421">
        <v>10000</v>
      </c>
      <c r="R290" s="400"/>
      <c r="S290" s="401"/>
      <c r="T290" s="402" t="s">
        <v>423</v>
      </c>
      <c r="U290" s="403"/>
      <c r="V290" s="404">
        <f t="shared" si="52"/>
        <v>99700</v>
      </c>
      <c r="W290" s="405" t="str">
        <f>IF(AND(P290&lt;[3]koment!$F$1,N290&gt;=[3]koment!$F$2),"Komentovat","")</f>
        <v>Komentovat</v>
      </c>
      <c r="X290" s="406">
        <f t="shared" si="56"/>
        <v>28</v>
      </c>
      <c r="Y290" s="404">
        <f t="shared" si="53"/>
        <v>5600</v>
      </c>
      <c r="Z290" s="407" t="str">
        <f t="shared" si="54"/>
        <v>ORG 5307 - Vybudování lapidária a odborného zázemí hradu Špilberk</v>
      </c>
      <c r="AA290" s="408" t="str">
        <f t="shared" si="55"/>
        <v>5600332253076121EU</v>
      </c>
      <c r="AB290" s="388"/>
      <c r="AC290" s="409">
        <f t="shared" si="48"/>
        <v>99700</v>
      </c>
      <c r="AD290" s="388"/>
      <c r="AE290" s="388"/>
      <c r="AF290" s="388"/>
    </row>
    <row r="291" spans="1:32" outlineLevel="1" x14ac:dyDescent="0.2">
      <c r="A291" s="391">
        <f t="shared" si="44"/>
        <v>289</v>
      </c>
      <c r="B291" s="419"/>
      <c r="C291" s="424" t="s">
        <v>731</v>
      </c>
      <c r="D291" s="393"/>
      <c r="E291" s="393"/>
      <c r="F291" s="427"/>
      <c r="G291" s="394"/>
      <c r="H291" s="393"/>
      <c r="I291" s="393"/>
      <c r="J291" s="420">
        <f t="shared" ref="J291:O291" si="61">SUBTOTAL(9,J287:J290)</f>
        <v>440027</v>
      </c>
      <c r="K291" s="420">
        <f t="shared" si="61"/>
        <v>0</v>
      </c>
      <c r="L291" s="420">
        <f t="shared" si="61"/>
        <v>200821</v>
      </c>
      <c r="M291" s="421">
        <f t="shared" si="61"/>
        <v>5000</v>
      </c>
      <c r="N291" s="421">
        <f t="shared" si="61"/>
        <v>2010</v>
      </c>
      <c r="O291" s="420">
        <f t="shared" si="61"/>
        <v>1300</v>
      </c>
      <c r="P291" s="399">
        <f t="shared" si="45"/>
        <v>0.64676616915422891</v>
      </c>
      <c r="Q291" s="421">
        <f>SUBTOTAL(9,Q287:Q290)</f>
        <v>23000</v>
      </c>
      <c r="R291" s="400">
        <f>SUBTOTAL(9,R287:R290)</f>
        <v>12000</v>
      </c>
      <c r="S291" s="401">
        <f>SUBTOTAL(9,S287:S290)</f>
        <v>92728</v>
      </c>
      <c r="T291" s="402"/>
      <c r="U291" s="403"/>
      <c r="V291" s="404"/>
      <c r="W291" s="405"/>
      <c r="X291" s="406"/>
      <c r="Y291" s="404" t="str">
        <f>IF($V291=0," ",IF(LEN($B291)=4,$B291*1,$B291))</f>
        <v xml:space="preserve"> </v>
      </c>
      <c r="Z291" s="407">
        <f>IF($Y291=" ",0,"ORG "&amp;$D291&amp;" - "&amp;$G291)</f>
        <v>0</v>
      </c>
      <c r="AA291" s="408" t="str">
        <f>$B291&amp;LEFT($C291,4)&amp;$D291&amp;$E291&amp;$F291</f>
        <v>Celk</v>
      </c>
      <c r="AB291" s="388"/>
      <c r="AC291" s="409"/>
      <c r="AD291" s="388"/>
      <c r="AE291" s="388"/>
      <c r="AF291" s="388"/>
    </row>
    <row r="292" spans="1:32" outlineLevel="2" x14ac:dyDescent="0.2">
      <c r="A292" s="391">
        <f t="shared" si="44"/>
        <v>290</v>
      </c>
      <c r="B292" s="422" t="s">
        <v>697</v>
      </c>
      <c r="C292" s="393" t="s">
        <v>732</v>
      </c>
      <c r="D292" s="393">
        <v>3242</v>
      </c>
      <c r="E292" s="393">
        <v>6127</v>
      </c>
      <c r="F292" s="402"/>
      <c r="G292" s="394" t="s">
        <v>733</v>
      </c>
      <c r="H292" s="423">
        <v>2006</v>
      </c>
      <c r="I292" s="423">
        <v>2017</v>
      </c>
      <c r="J292" s="420">
        <v>20000</v>
      </c>
      <c r="K292" s="420"/>
      <c r="L292" s="420">
        <v>5818</v>
      </c>
      <c r="M292" s="421">
        <v>2700</v>
      </c>
      <c r="N292" s="421">
        <v>2700</v>
      </c>
      <c r="O292" s="420">
        <v>2360</v>
      </c>
      <c r="P292" s="399">
        <f t="shared" si="45"/>
        <v>0.87407407407407411</v>
      </c>
      <c r="Q292" s="421">
        <v>500</v>
      </c>
      <c r="R292" s="400"/>
      <c r="S292" s="401"/>
      <c r="T292" s="402" t="s">
        <v>734</v>
      </c>
      <c r="U292" s="403"/>
      <c r="V292" s="404">
        <f t="shared" si="52"/>
        <v>10982</v>
      </c>
      <c r="W292" s="405" t="str">
        <f>IF(AND(P292&lt;[3]koment!$F$1,N292&gt;=[3]koment!$F$2),"Komentovat","")</f>
        <v/>
      </c>
      <c r="X292" s="406">
        <f>IF(W292="Komentovat",X290+1,X290)</f>
        <v>28</v>
      </c>
      <c r="Y292" s="404">
        <f t="shared" si="53"/>
        <v>7300</v>
      </c>
      <c r="Z292" s="407" t="str">
        <f t="shared" si="54"/>
        <v>ORG 3242 - Sochy pro Brno</v>
      </c>
      <c r="AA292" s="408" t="str">
        <f t="shared" si="55"/>
        <v>7300332632426127</v>
      </c>
      <c r="AB292" s="388"/>
      <c r="AC292" s="409">
        <f t="shared" si="48"/>
        <v>10982</v>
      </c>
      <c r="AD292" s="388"/>
      <c r="AE292" s="388"/>
      <c r="AF292" s="388"/>
    </row>
    <row r="293" spans="1:32" outlineLevel="2" x14ac:dyDescent="0.2">
      <c r="A293" s="391">
        <f t="shared" si="44"/>
        <v>291</v>
      </c>
      <c r="B293" s="422" t="s">
        <v>697</v>
      </c>
      <c r="C293" s="393" t="s">
        <v>732</v>
      </c>
      <c r="D293" s="393">
        <v>300600</v>
      </c>
      <c r="E293" s="393">
        <v>6127</v>
      </c>
      <c r="F293" s="402"/>
      <c r="G293" s="394" t="s">
        <v>735</v>
      </c>
      <c r="H293" s="393"/>
      <c r="I293" s="393"/>
      <c r="J293" s="420"/>
      <c r="K293" s="420"/>
      <c r="L293" s="420">
        <v>612</v>
      </c>
      <c r="M293" s="421">
        <v>130</v>
      </c>
      <c r="N293" s="421">
        <v>130</v>
      </c>
      <c r="O293" s="420">
        <v>117</v>
      </c>
      <c r="P293" s="399">
        <f t="shared" si="45"/>
        <v>0.9</v>
      </c>
      <c r="Q293" s="421">
        <v>250</v>
      </c>
      <c r="R293" s="400"/>
      <c r="S293" s="401"/>
      <c r="T293" s="402" t="s">
        <v>734</v>
      </c>
      <c r="U293" s="403"/>
      <c r="V293" s="404">
        <f t="shared" si="52"/>
        <v>0</v>
      </c>
      <c r="W293" s="405" t="str">
        <f>IF(AND(P293&lt;[3]koment!$F$1,N293&gt;=[3]koment!$F$2),"Komentovat","")</f>
        <v/>
      </c>
      <c r="X293" s="406">
        <f t="shared" si="56"/>
        <v>28</v>
      </c>
      <c r="Y293" s="404" t="str">
        <f t="shared" si="53"/>
        <v xml:space="preserve"> </v>
      </c>
      <c r="Z293" s="407">
        <f t="shared" si="54"/>
        <v>0</v>
      </c>
      <c r="AA293" s="408" t="str">
        <f t="shared" si="55"/>
        <v>730033263006006127</v>
      </c>
      <c r="AB293" s="388"/>
      <c r="AC293" s="409">
        <f t="shared" si="48"/>
        <v>0</v>
      </c>
      <c r="AD293" s="388"/>
      <c r="AE293" s="388"/>
      <c r="AF293" s="388"/>
    </row>
    <row r="294" spans="1:32" outlineLevel="2" x14ac:dyDescent="0.2">
      <c r="A294" s="391">
        <f t="shared" si="44"/>
        <v>292</v>
      </c>
      <c r="B294" s="392" t="s">
        <v>697</v>
      </c>
      <c r="C294" s="393" t="s">
        <v>732</v>
      </c>
      <c r="D294" s="394">
        <v>300699</v>
      </c>
      <c r="E294" s="393">
        <v>6322</v>
      </c>
      <c r="F294" s="395"/>
      <c r="G294" s="394" t="s">
        <v>736</v>
      </c>
      <c r="H294" s="394"/>
      <c r="I294" s="394"/>
      <c r="J294" s="396"/>
      <c r="K294" s="396"/>
      <c r="L294" s="397"/>
      <c r="M294" s="398"/>
      <c r="N294" s="398">
        <v>50</v>
      </c>
      <c r="O294" s="396">
        <v>50</v>
      </c>
      <c r="P294" s="399">
        <f t="shared" si="45"/>
        <v>1</v>
      </c>
      <c r="Q294" s="398"/>
      <c r="R294" s="400"/>
      <c r="S294" s="401"/>
      <c r="T294" s="402" t="s">
        <v>734</v>
      </c>
      <c r="U294" s="403"/>
      <c r="V294" s="404">
        <f t="shared" si="52"/>
        <v>0</v>
      </c>
      <c r="W294" s="405" t="str">
        <f>IF(AND(P294&lt;[3]koment!$F$1,N294&gt;=[3]koment!$F$2),"Komentovat","")</f>
        <v/>
      </c>
      <c r="X294" s="406">
        <f t="shared" si="56"/>
        <v>28</v>
      </c>
      <c r="Y294" s="404" t="str">
        <f t="shared" si="53"/>
        <v xml:space="preserve"> </v>
      </c>
      <c r="Z294" s="407">
        <f t="shared" si="54"/>
        <v>0</v>
      </c>
      <c r="AA294" s="408" t="str">
        <f t="shared" si="55"/>
        <v>730033263006996322</v>
      </c>
      <c r="AB294" s="388"/>
      <c r="AC294" s="409">
        <f t="shared" si="48"/>
        <v>0</v>
      </c>
      <c r="AD294" s="388"/>
      <c r="AE294" s="388"/>
      <c r="AF294" s="388"/>
    </row>
    <row r="295" spans="1:32" outlineLevel="2" x14ac:dyDescent="0.2">
      <c r="A295" s="391">
        <f t="shared" si="44"/>
        <v>293</v>
      </c>
      <c r="B295" s="392" t="s">
        <v>697</v>
      </c>
      <c r="C295" s="393" t="s">
        <v>732</v>
      </c>
      <c r="D295" s="394">
        <v>300699</v>
      </c>
      <c r="E295" s="393">
        <v>6352</v>
      </c>
      <c r="F295" s="395"/>
      <c r="G295" s="394" t="s">
        <v>736</v>
      </c>
      <c r="H295" s="394"/>
      <c r="I295" s="394"/>
      <c r="J295" s="396"/>
      <c r="K295" s="396"/>
      <c r="L295" s="397"/>
      <c r="M295" s="398"/>
      <c r="N295" s="398">
        <v>200</v>
      </c>
      <c r="O295" s="396">
        <v>200</v>
      </c>
      <c r="P295" s="399">
        <f t="shared" si="45"/>
        <v>1</v>
      </c>
      <c r="Q295" s="398"/>
      <c r="R295" s="400"/>
      <c r="S295" s="401"/>
      <c r="T295" s="402" t="s">
        <v>734</v>
      </c>
      <c r="U295" s="403"/>
      <c r="V295" s="404">
        <f t="shared" si="52"/>
        <v>0</v>
      </c>
      <c r="W295" s="405" t="str">
        <f>IF(AND(P295&lt;[3]koment!$F$1,N295&gt;=[3]koment!$F$2),"Komentovat","")</f>
        <v/>
      </c>
      <c r="X295" s="406">
        <f t="shared" si="56"/>
        <v>28</v>
      </c>
      <c r="Y295" s="404" t="str">
        <f t="shared" si="53"/>
        <v xml:space="preserve"> </v>
      </c>
      <c r="Z295" s="407">
        <f t="shared" si="54"/>
        <v>0</v>
      </c>
      <c r="AA295" s="408" t="str">
        <f t="shared" si="55"/>
        <v>730033263006996352</v>
      </c>
      <c r="AB295" s="388"/>
      <c r="AC295" s="409">
        <f t="shared" si="48"/>
        <v>0</v>
      </c>
      <c r="AD295" s="388"/>
      <c r="AE295" s="388"/>
      <c r="AF295" s="388"/>
    </row>
    <row r="296" spans="1:32" outlineLevel="1" x14ac:dyDescent="0.2">
      <c r="A296" s="391">
        <f t="shared" si="44"/>
        <v>294</v>
      </c>
      <c r="B296" s="392"/>
      <c r="C296" s="424" t="s">
        <v>737</v>
      </c>
      <c r="D296" s="394"/>
      <c r="E296" s="393"/>
      <c r="F296" s="395"/>
      <c r="G296" s="394"/>
      <c r="H296" s="394"/>
      <c r="I296" s="394"/>
      <c r="J296" s="396">
        <f t="shared" ref="J296:O296" si="62">SUBTOTAL(9,J292:J295)</f>
        <v>20000</v>
      </c>
      <c r="K296" s="396">
        <f t="shared" si="62"/>
        <v>0</v>
      </c>
      <c r="L296" s="397">
        <f t="shared" si="62"/>
        <v>6430</v>
      </c>
      <c r="M296" s="398">
        <f t="shared" si="62"/>
        <v>2830</v>
      </c>
      <c r="N296" s="398">
        <f t="shared" si="62"/>
        <v>3080</v>
      </c>
      <c r="O296" s="396">
        <f t="shared" si="62"/>
        <v>2727</v>
      </c>
      <c r="P296" s="399">
        <f t="shared" si="45"/>
        <v>0.88538961038961039</v>
      </c>
      <c r="Q296" s="398">
        <f>SUBTOTAL(9,Q292:Q295)</f>
        <v>750</v>
      </c>
      <c r="R296" s="400">
        <f>SUBTOTAL(9,R292:R295)</f>
        <v>0</v>
      </c>
      <c r="S296" s="401">
        <f>SUBTOTAL(9,S292:S295)</f>
        <v>0</v>
      </c>
      <c r="T296" s="402"/>
      <c r="U296" s="403"/>
      <c r="V296" s="404"/>
      <c r="W296" s="405"/>
      <c r="X296" s="406"/>
      <c r="Y296" s="404" t="str">
        <f>IF($V296=0," ",IF(LEN($B296)=4,$B296*1,$B296))</f>
        <v xml:space="preserve"> </v>
      </c>
      <c r="Z296" s="407">
        <f>IF($Y296=" ",0,"ORG "&amp;$D296&amp;" - "&amp;$G296)</f>
        <v>0</v>
      </c>
      <c r="AA296" s="408" t="str">
        <f>$B296&amp;LEFT($C296,4)&amp;$D296&amp;$E296&amp;$F296</f>
        <v>Celk</v>
      </c>
      <c r="AB296" s="388"/>
      <c r="AC296" s="409"/>
      <c r="AD296" s="388"/>
      <c r="AE296" s="388"/>
      <c r="AF296" s="388"/>
    </row>
    <row r="297" spans="1:32" outlineLevel="2" x14ac:dyDescent="0.2">
      <c r="A297" s="391">
        <f t="shared" si="44"/>
        <v>295</v>
      </c>
      <c r="B297" s="392" t="s">
        <v>420</v>
      </c>
      <c r="C297" s="393" t="s">
        <v>738</v>
      </c>
      <c r="D297" s="394">
        <v>5337</v>
      </c>
      <c r="E297" s="393">
        <v>6121</v>
      </c>
      <c r="F297" s="427" t="s">
        <v>490</v>
      </c>
      <c r="G297" s="394" t="s">
        <v>739</v>
      </c>
      <c r="H297" s="394">
        <v>2016</v>
      </c>
      <c r="I297" s="394">
        <v>2017</v>
      </c>
      <c r="J297" s="396">
        <v>20389</v>
      </c>
      <c r="K297" s="396"/>
      <c r="L297" s="397"/>
      <c r="M297" s="398"/>
      <c r="N297" s="398">
        <v>100</v>
      </c>
      <c r="O297" s="396">
        <v>4</v>
      </c>
      <c r="P297" s="399">
        <f t="shared" si="45"/>
        <v>0.04</v>
      </c>
      <c r="Q297" s="398">
        <v>2000</v>
      </c>
      <c r="R297" s="400"/>
      <c r="S297" s="401"/>
      <c r="T297" s="402" t="s">
        <v>423</v>
      </c>
      <c r="U297" s="403"/>
      <c r="V297" s="404">
        <f t="shared" si="52"/>
        <v>18289</v>
      </c>
      <c r="W297" s="405" t="str">
        <f>IF(AND(P297&lt;[3]koment!$F$1,N297&gt;=[3]koment!$F$2),"Komentovat","")</f>
        <v/>
      </c>
      <c r="X297" s="406">
        <f>IF(W297="Komentovat",X295+1,X295)</f>
        <v>28</v>
      </c>
      <c r="Y297" s="404">
        <f t="shared" si="53"/>
        <v>5600</v>
      </c>
      <c r="Z297" s="407" t="str">
        <f t="shared" si="54"/>
        <v>ORG 5337 - Stavební úpravy společenského centra Bystrc</v>
      </c>
      <c r="AA297" s="408" t="str">
        <f t="shared" si="55"/>
        <v>5600339253376121EU</v>
      </c>
      <c r="AB297" s="388"/>
      <c r="AC297" s="409">
        <f t="shared" si="48"/>
        <v>18289</v>
      </c>
      <c r="AD297" s="388"/>
      <c r="AE297" s="388"/>
      <c r="AF297" s="388"/>
    </row>
    <row r="298" spans="1:32" outlineLevel="1" x14ac:dyDescent="0.2">
      <c r="A298" s="391">
        <f t="shared" si="44"/>
        <v>296</v>
      </c>
      <c r="B298" s="392"/>
      <c r="C298" s="424" t="s">
        <v>740</v>
      </c>
      <c r="D298" s="394"/>
      <c r="E298" s="393"/>
      <c r="F298" s="427"/>
      <c r="G298" s="394"/>
      <c r="H298" s="394"/>
      <c r="I298" s="394"/>
      <c r="J298" s="396">
        <f t="shared" ref="J298:O298" si="63">SUBTOTAL(9,J297:J297)</f>
        <v>20389</v>
      </c>
      <c r="K298" s="396">
        <f t="shared" si="63"/>
        <v>0</v>
      </c>
      <c r="L298" s="397">
        <f t="shared" si="63"/>
        <v>0</v>
      </c>
      <c r="M298" s="398">
        <f t="shared" si="63"/>
        <v>0</v>
      </c>
      <c r="N298" s="398">
        <f t="shared" si="63"/>
        <v>100</v>
      </c>
      <c r="O298" s="396">
        <f t="shared" si="63"/>
        <v>4</v>
      </c>
      <c r="P298" s="399">
        <f t="shared" si="45"/>
        <v>0.04</v>
      </c>
      <c r="Q298" s="398">
        <f>SUBTOTAL(9,Q297:Q297)</f>
        <v>2000</v>
      </c>
      <c r="R298" s="400">
        <f>SUBTOTAL(9,R297:R297)</f>
        <v>0</v>
      </c>
      <c r="S298" s="401">
        <f>SUBTOTAL(9,S297:S297)</f>
        <v>0</v>
      </c>
      <c r="T298" s="402"/>
      <c r="U298" s="403"/>
      <c r="V298" s="404"/>
      <c r="W298" s="405"/>
      <c r="X298" s="406"/>
      <c r="Y298" s="404" t="str">
        <f>IF($V298=0," ",IF(LEN($B298)=4,$B298*1,$B298))</f>
        <v xml:space="preserve"> </v>
      </c>
      <c r="Z298" s="407">
        <f>IF($Y298=" ",0,"ORG "&amp;$D298&amp;" - "&amp;$G298)</f>
        <v>0</v>
      </c>
      <c r="AA298" s="408" t="str">
        <f>$B298&amp;LEFT($C298,4)&amp;$D298&amp;$E298&amp;$F298</f>
        <v>Celk</v>
      </c>
      <c r="AB298" s="388"/>
      <c r="AC298" s="409"/>
      <c r="AD298" s="388"/>
      <c r="AE298" s="388"/>
      <c r="AF298" s="388"/>
    </row>
    <row r="299" spans="1:32" outlineLevel="2" x14ac:dyDescent="0.2">
      <c r="A299" s="391">
        <f t="shared" si="44"/>
        <v>297</v>
      </c>
      <c r="B299" s="422" t="s">
        <v>420</v>
      </c>
      <c r="C299" s="393" t="s">
        <v>741</v>
      </c>
      <c r="D299" s="393">
        <v>5121</v>
      </c>
      <c r="E299" s="393">
        <v>6121</v>
      </c>
      <c r="F299" s="427" t="s">
        <v>490</v>
      </c>
      <c r="G299" s="394" t="s">
        <v>742</v>
      </c>
      <c r="H299" s="393">
        <v>2013</v>
      </c>
      <c r="I299" s="393">
        <v>2017</v>
      </c>
      <c r="J299" s="420">
        <v>50000</v>
      </c>
      <c r="K299" s="420">
        <v>40364</v>
      </c>
      <c r="L299" s="420">
        <v>49610</v>
      </c>
      <c r="M299" s="421">
        <v>5000</v>
      </c>
      <c r="N299" s="421">
        <v>200</v>
      </c>
      <c r="O299" s="420">
        <v>109</v>
      </c>
      <c r="P299" s="399">
        <f t="shared" si="45"/>
        <v>0.54500000000000004</v>
      </c>
      <c r="Q299" s="421">
        <v>50</v>
      </c>
      <c r="R299" s="400"/>
      <c r="S299" s="401"/>
      <c r="T299" s="402" t="s">
        <v>423</v>
      </c>
      <c r="U299" s="403"/>
      <c r="V299" s="404">
        <f t="shared" si="52"/>
        <v>140</v>
      </c>
      <c r="W299" s="405" t="str">
        <f>IF(AND(P299&lt;[3]koment!$F$1,N299&gt;=[3]koment!$F$2),"Komentovat","")</f>
        <v/>
      </c>
      <c r="X299" s="406">
        <f>IF(W299="Komentovat",X297+1,X297)</f>
        <v>28</v>
      </c>
      <c r="Y299" s="404">
        <f t="shared" si="53"/>
        <v>5600</v>
      </c>
      <c r="Z299" s="407" t="str">
        <f t="shared" si="54"/>
        <v>ORG 5121 - Novostavba tělocvičny v MČ Brno-Tuřany</v>
      </c>
      <c r="AA299" s="408" t="str">
        <f t="shared" si="55"/>
        <v>5600341251216121EU</v>
      </c>
      <c r="AB299" s="388"/>
      <c r="AC299" s="409">
        <f t="shared" si="48"/>
        <v>140</v>
      </c>
      <c r="AD299" s="388"/>
      <c r="AE299" s="388"/>
      <c r="AF299" s="388"/>
    </row>
    <row r="300" spans="1:32" outlineLevel="1" x14ac:dyDescent="0.2">
      <c r="A300" s="391">
        <f t="shared" si="44"/>
        <v>298</v>
      </c>
      <c r="B300" s="422"/>
      <c r="C300" s="424" t="s">
        <v>743</v>
      </c>
      <c r="D300" s="393"/>
      <c r="E300" s="393"/>
      <c r="F300" s="427"/>
      <c r="G300" s="394"/>
      <c r="H300" s="393"/>
      <c r="I300" s="393"/>
      <c r="J300" s="420">
        <f t="shared" ref="J300:O300" si="64">SUBTOTAL(9,J299:J299)</f>
        <v>50000</v>
      </c>
      <c r="K300" s="420">
        <f t="shared" si="64"/>
        <v>40364</v>
      </c>
      <c r="L300" s="420">
        <f t="shared" si="64"/>
        <v>49610</v>
      </c>
      <c r="M300" s="421">
        <f t="shared" si="64"/>
        <v>5000</v>
      </c>
      <c r="N300" s="421">
        <f t="shared" si="64"/>
        <v>200</v>
      </c>
      <c r="O300" s="420">
        <f t="shared" si="64"/>
        <v>109</v>
      </c>
      <c r="P300" s="399">
        <f t="shared" si="45"/>
        <v>0.54500000000000004</v>
      </c>
      <c r="Q300" s="421">
        <f>SUBTOTAL(9,Q299:Q299)</f>
        <v>50</v>
      </c>
      <c r="R300" s="400">
        <f>SUBTOTAL(9,R299:R299)</f>
        <v>0</v>
      </c>
      <c r="S300" s="401">
        <f>SUBTOTAL(9,S299:S299)</f>
        <v>0</v>
      </c>
      <c r="T300" s="402"/>
      <c r="U300" s="403"/>
      <c r="V300" s="404"/>
      <c r="W300" s="405"/>
      <c r="X300" s="406"/>
      <c r="Y300" s="404" t="str">
        <f>IF($V300=0," ",IF(LEN($B300)=4,$B300*1,$B300))</f>
        <v xml:space="preserve"> </v>
      </c>
      <c r="Z300" s="407">
        <f>IF($Y300=" ",0,"ORG "&amp;$D300&amp;" - "&amp;$G300)</f>
        <v>0</v>
      </c>
      <c r="AA300" s="408" t="str">
        <f>$B300&amp;LEFT($C300,4)&amp;$D300&amp;$E300&amp;$F300</f>
        <v>Celk</v>
      </c>
      <c r="AB300" s="388"/>
      <c r="AC300" s="409"/>
      <c r="AD300" s="388"/>
      <c r="AE300" s="388"/>
      <c r="AF300" s="388"/>
    </row>
    <row r="301" spans="1:32" outlineLevel="2" x14ac:dyDescent="0.2">
      <c r="A301" s="391">
        <f t="shared" si="44"/>
        <v>299</v>
      </c>
      <c r="B301" s="392" t="s">
        <v>680</v>
      </c>
      <c r="C301" s="393" t="s">
        <v>744</v>
      </c>
      <c r="D301" s="394">
        <v>2656</v>
      </c>
      <c r="E301" s="393">
        <v>6121</v>
      </c>
      <c r="F301" s="395"/>
      <c r="G301" s="394" t="s">
        <v>745</v>
      </c>
      <c r="H301" s="394">
        <v>2016</v>
      </c>
      <c r="I301" s="394">
        <v>2016</v>
      </c>
      <c r="J301" s="396">
        <v>1329</v>
      </c>
      <c r="K301" s="396"/>
      <c r="L301" s="397"/>
      <c r="M301" s="398"/>
      <c r="N301" s="398">
        <v>1329</v>
      </c>
      <c r="O301" s="396">
        <v>1329</v>
      </c>
      <c r="P301" s="399">
        <f t="shared" si="45"/>
        <v>1</v>
      </c>
      <c r="Q301" s="398"/>
      <c r="R301" s="400"/>
      <c r="S301" s="401"/>
      <c r="T301" s="402" t="s">
        <v>683</v>
      </c>
      <c r="U301" s="403"/>
      <c r="V301" s="404">
        <f t="shared" si="52"/>
        <v>0</v>
      </c>
      <c r="W301" s="405" t="str">
        <f>IF(AND(P301&lt;[3]koment!$F$1,N301&gt;=[3]koment!$F$2),"Komentovat","")</f>
        <v/>
      </c>
      <c r="X301" s="406">
        <f>IF(W301="Komentovat",X299+1,X299)</f>
        <v>28</v>
      </c>
      <c r="Y301" s="404" t="str">
        <f t="shared" si="53"/>
        <v xml:space="preserve"> </v>
      </c>
      <c r="Z301" s="407">
        <f t="shared" si="54"/>
        <v>0</v>
      </c>
      <c r="AA301" s="408" t="str">
        <f t="shared" si="55"/>
        <v>6700341926566121</v>
      </c>
      <c r="AB301" s="388"/>
      <c r="AC301" s="409">
        <f t="shared" si="48"/>
        <v>0</v>
      </c>
      <c r="AD301" s="388"/>
      <c r="AE301" s="388"/>
      <c r="AF301" s="388"/>
    </row>
    <row r="302" spans="1:32" outlineLevel="2" x14ac:dyDescent="0.2">
      <c r="A302" s="391">
        <f t="shared" si="44"/>
        <v>300</v>
      </c>
      <c r="B302" s="392">
        <v>5600</v>
      </c>
      <c r="C302" s="393" t="s">
        <v>744</v>
      </c>
      <c r="D302" s="394">
        <v>2657</v>
      </c>
      <c r="E302" s="393">
        <v>6121</v>
      </c>
      <c r="F302" s="395" t="s">
        <v>447</v>
      </c>
      <c r="G302" s="394" t="s">
        <v>746</v>
      </c>
      <c r="H302" s="394">
        <v>2016</v>
      </c>
      <c r="I302" s="394">
        <v>2018</v>
      </c>
      <c r="J302" s="396">
        <v>12200</v>
      </c>
      <c r="K302" s="396"/>
      <c r="L302" s="397"/>
      <c r="M302" s="398"/>
      <c r="N302" s="398">
        <v>500</v>
      </c>
      <c r="O302" s="396">
        <v>24</v>
      </c>
      <c r="P302" s="399">
        <f t="shared" si="45"/>
        <v>4.8000000000000001E-2</v>
      </c>
      <c r="Q302" s="398">
        <v>9200</v>
      </c>
      <c r="R302" s="400"/>
      <c r="S302" s="401"/>
      <c r="T302" s="402" t="s">
        <v>423</v>
      </c>
      <c r="U302" s="403"/>
      <c r="V302" s="404">
        <f t="shared" si="52"/>
        <v>2500</v>
      </c>
      <c r="W302" s="405" t="str">
        <f>IF(AND(P302&lt;[3]koment!$F$1,N302&gt;=[3]koment!$F$2),"Komentovat","")</f>
        <v/>
      </c>
      <c r="X302" s="406">
        <f t="shared" si="56"/>
        <v>28</v>
      </c>
      <c r="Y302" s="404">
        <f t="shared" si="53"/>
        <v>5600</v>
      </c>
      <c r="Z302" s="407" t="str">
        <f t="shared" si="54"/>
        <v>ORG 2657 - Atletická hala Campus - příprava</v>
      </c>
      <c r="AA302" s="408" t="str">
        <f t="shared" si="55"/>
        <v>5600341926576121S</v>
      </c>
      <c r="AB302" s="388"/>
      <c r="AC302" s="409">
        <f t="shared" si="48"/>
        <v>2500</v>
      </c>
      <c r="AD302" s="388"/>
      <c r="AE302" s="388"/>
      <c r="AF302" s="388"/>
    </row>
    <row r="303" spans="1:32" ht="25.5" outlineLevel="2" x14ac:dyDescent="0.2">
      <c r="A303" s="391">
        <f t="shared" si="44"/>
        <v>301</v>
      </c>
      <c r="B303" s="419" t="s">
        <v>680</v>
      </c>
      <c r="C303" s="393" t="s">
        <v>744</v>
      </c>
      <c r="D303" s="393">
        <v>2666</v>
      </c>
      <c r="E303" s="393">
        <v>6121</v>
      </c>
      <c r="F303" s="435"/>
      <c r="G303" s="425" t="s">
        <v>747</v>
      </c>
      <c r="H303" s="393">
        <v>2016</v>
      </c>
      <c r="I303" s="393">
        <v>2016</v>
      </c>
      <c r="J303" s="437">
        <v>19000</v>
      </c>
      <c r="K303" s="437"/>
      <c r="L303" s="438"/>
      <c r="M303" s="439"/>
      <c r="N303" s="439">
        <v>19300</v>
      </c>
      <c r="O303" s="437">
        <v>19291</v>
      </c>
      <c r="P303" s="399">
        <f t="shared" si="45"/>
        <v>0.9995336787564767</v>
      </c>
      <c r="Q303" s="439"/>
      <c r="R303" s="421"/>
      <c r="S303" s="451"/>
      <c r="T303" s="435" t="s">
        <v>683</v>
      </c>
      <c r="U303" s="403"/>
      <c r="V303" s="404">
        <f t="shared" si="52"/>
        <v>-300</v>
      </c>
      <c r="W303" s="405" t="str">
        <f>IF(AND(P303&lt;[3]koment!$F$1,N303&gt;=[3]koment!$F$2),"Komentovat","")</f>
        <v/>
      </c>
      <c r="X303" s="406">
        <f t="shared" si="56"/>
        <v>28</v>
      </c>
      <c r="Y303" s="404">
        <f t="shared" si="53"/>
        <v>6700</v>
      </c>
      <c r="Z303" s="407" t="str">
        <f t="shared" si="54"/>
        <v>ORG 2666 - Rekonstrukce výměníkové stanice na horkou vodu, VZT a ohřevu bazénové vody - Městský plavecký stadion Lužánky</v>
      </c>
      <c r="AA303" s="408" t="str">
        <f t="shared" si="55"/>
        <v>6700341926666121</v>
      </c>
      <c r="AB303" s="388"/>
      <c r="AC303" s="409">
        <f t="shared" si="48"/>
        <v>-300</v>
      </c>
      <c r="AD303" s="388"/>
      <c r="AE303" s="388"/>
      <c r="AF303" s="388"/>
    </row>
    <row r="304" spans="1:32" outlineLevel="2" x14ac:dyDescent="0.2">
      <c r="A304" s="391">
        <f t="shared" si="44"/>
        <v>302</v>
      </c>
      <c r="B304" s="392" t="s">
        <v>680</v>
      </c>
      <c r="C304" s="393" t="s">
        <v>744</v>
      </c>
      <c r="D304" s="394">
        <v>2691</v>
      </c>
      <c r="E304" s="393">
        <v>6121</v>
      </c>
      <c r="F304" s="395"/>
      <c r="G304" s="426" t="s">
        <v>748</v>
      </c>
      <c r="H304" s="394">
        <v>2016</v>
      </c>
      <c r="I304" s="394">
        <v>2017</v>
      </c>
      <c r="J304" s="396">
        <v>2000</v>
      </c>
      <c r="K304" s="396"/>
      <c r="L304" s="397">
        <v>0</v>
      </c>
      <c r="M304" s="398">
        <v>2000</v>
      </c>
      <c r="N304" s="398">
        <v>0</v>
      </c>
      <c r="O304" s="396"/>
      <c r="P304" s="399" t="str">
        <f t="shared" si="45"/>
        <v xml:space="preserve"> </v>
      </c>
      <c r="Q304" s="398">
        <v>2000</v>
      </c>
      <c r="R304" s="400"/>
      <c r="S304" s="401"/>
      <c r="T304" s="402" t="s">
        <v>683</v>
      </c>
      <c r="U304" s="403"/>
      <c r="V304" s="404">
        <f t="shared" si="52"/>
        <v>0</v>
      </c>
      <c r="W304" s="405" t="str">
        <f>IF(AND(P304&lt;[3]koment!$F$1,N304&gt;=[3]koment!$F$2),"Komentovat","")</f>
        <v/>
      </c>
      <c r="X304" s="406">
        <f t="shared" si="56"/>
        <v>28</v>
      </c>
      <c r="Y304" s="404" t="str">
        <f t="shared" si="53"/>
        <v xml:space="preserve"> </v>
      </c>
      <c r="Z304" s="407">
        <f t="shared" si="54"/>
        <v>0</v>
      </c>
      <c r="AA304" s="408" t="str">
        <f t="shared" si="55"/>
        <v>6700341926916121</v>
      </c>
      <c r="AB304" s="388"/>
      <c r="AC304" s="409">
        <f t="shared" si="48"/>
        <v>0</v>
      </c>
      <c r="AD304" s="388"/>
      <c r="AE304" s="388"/>
      <c r="AF304" s="388"/>
    </row>
    <row r="305" spans="1:32" outlineLevel="2" x14ac:dyDescent="0.2">
      <c r="A305" s="391">
        <f t="shared" si="44"/>
        <v>303</v>
      </c>
      <c r="B305" s="419" t="s">
        <v>680</v>
      </c>
      <c r="C305" s="393" t="s">
        <v>744</v>
      </c>
      <c r="D305" s="393">
        <v>2692</v>
      </c>
      <c r="E305" s="393">
        <v>6313</v>
      </c>
      <c r="F305" s="435"/>
      <c r="G305" s="452" t="s">
        <v>749</v>
      </c>
      <c r="H305" s="393">
        <v>2016</v>
      </c>
      <c r="I305" s="393">
        <v>2018</v>
      </c>
      <c r="J305" s="437">
        <v>50000</v>
      </c>
      <c r="K305" s="437"/>
      <c r="L305" s="438"/>
      <c r="M305" s="439">
        <v>20000</v>
      </c>
      <c r="N305" s="439">
        <v>1380</v>
      </c>
      <c r="O305" s="437">
        <v>1380</v>
      </c>
      <c r="P305" s="399">
        <f t="shared" si="45"/>
        <v>1</v>
      </c>
      <c r="Q305" s="439">
        <v>50000</v>
      </c>
      <c r="R305" s="421">
        <v>148620</v>
      </c>
      <c r="S305" s="451"/>
      <c r="T305" s="435" t="s">
        <v>750</v>
      </c>
      <c r="U305" s="403"/>
      <c r="V305" s="404">
        <f t="shared" si="52"/>
        <v>-150000</v>
      </c>
      <c r="W305" s="405" t="str">
        <f>IF(AND(P305&lt;[3]koment!$F$1,N305&gt;=[3]koment!$F$2),"Komentovat","")</f>
        <v/>
      </c>
      <c r="X305" s="406">
        <f t="shared" si="56"/>
        <v>28</v>
      </c>
      <c r="Y305" s="404">
        <f t="shared" si="53"/>
        <v>6700</v>
      </c>
      <c r="Z305" s="407" t="str">
        <f t="shared" si="54"/>
        <v>ORG 2692 - Investiční dotace STAREZ-SPORT, a.s. - rekonstrukce bazénu v areálu Riviéra</v>
      </c>
      <c r="AA305" s="408" t="str">
        <f t="shared" si="55"/>
        <v>6700341926926313</v>
      </c>
      <c r="AB305" s="388"/>
      <c r="AC305" s="409">
        <f t="shared" si="48"/>
        <v>-150000</v>
      </c>
      <c r="AD305" s="388"/>
      <c r="AE305" s="388"/>
      <c r="AF305" s="388"/>
    </row>
    <row r="306" spans="1:32" outlineLevel="2" x14ac:dyDescent="0.2">
      <c r="A306" s="391">
        <f t="shared" si="44"/>
        <v>304</v>
      </c>
      <c r="B306" s="422" t="s">
        <v>680</v>
      </c>
      <c r="C306" s="393" t="s">
        <v>744</v>
      </c>
      <c r="D306" s="393">
        <v>2741</v>
      </c>
      <c r="E306" s="393">
        <v>6121</v>
      </c>
      <c r="F306" s="427"/>
      <c r="G306" s="426" t="s">
        <v>751</v>
      </c>
      <c r="H306" s="393">
        <v>2016</v>
      </c>
      <c r="I306" s="393">
        <v>2017</v>
      </c>
      <c r="J306" s="420"/>
      <c r="K306" s="420"/>
      <c r="L306" s="420"/>
      <c r="M306" s="421">
        <v>20000</v>
      </c>
      <c r="N306" s="421">
        <v>0</v>
      </c>
      <c r="O306" s="420">
        <v>0</v>
      </c>
      <c r="P306" s="399" t="str">
        <f t="shared" si="45"/>
        <v xml:space="preserve"> </v>
      </c>
      <c r="Q306" s="421">
        <v>5000</v>
      </c>
      <c r="R306" s="400"/>
      <c r="S306" s="401"/>
      <c r="T306" s="402" t="s">
        <v>683</v>
      </c>
      <c r="U306" s="403"/>
      <c r="V306" s="404">
        <f t="shared" si="52"/>
        <v>-5000</v>
      </c>
      <c r="W306" s="405" t="str">
        <f>IF(AND(P306&lt;[3]koment!$F$1,N306&gt;=[3]koment!$F$2),"Komentovat","")</f>
        <v/>
      </c>
      <c r="X306" s="406">
        <f t="shared" si="56"/>
        <v>28</v>
      </c>
      <c r="Y306" s="404">
        <f t="shared" si="53"/>
        <v>6700</v>
      </c>
      <c r="Z306" s="407" t="str">
        <f t="shared" si="54"/>
        <v>ORG 2741 - Projektová příprava - sportovní infrastruktura</v>
      </c>
      <c r="AA306" s="408" t="str">
        <f t="shared" si="55"/>
        <v>6700341927416121</v>
      </c>
      <c r="AB306" s="388"/>
      <c r="AC306" s="409">
        <f t="shared" si="48"/>
        <v>-5000</v>
      </c>
      <c r="AD306" s="388"/>
      <c r="AE306" s="388"/>
      <c r="AF306" s="388"/>
    </row>
    <row r="307" spans="1:32" outlineLevel="2" x14ac:dyDescent="0.2">
      <c r="A307" s="391">
        <f t="shared" si="44"/>
        <v>305</v>
      </c>
      <c r="B307" s="453">
        <v>5600</v>
      </c>
      <c r="C307" s="429" t="s">
        <v>744</v>
      </c>
      <c r="D307" s="430">
        <v>2779</v>
      </c>
      <c r="E307" s="429">
        <v>6121</v>
      </c>
      <c r="F307" s="431"/>
      <c r="G307" s="426" t="s">
        <v>752</v>
      </c>
      <c r="H307" s="393">
        <v>2014</v>
      </c>
      <c r="I307" s="393">
        <v>2016</v>
      </c>
      <c r="J307" s="396">
        <v>17626</v>
      </c>
      <c r="K307" s="420"/>
      <c r="L307" s="420">
        <v>2376</v>
      </c>
      <c r="M307" s="421">
        <v>10000</v>
      </c>
      <c r="N307" s="421">
        <v>15250</v>
      </c>
      <c r="O307" s="420">
        <v>14798</v>
      </c>
      <c r="P307" s="399">
        <f t="shared" si="45"/>
        <v>0.97036065573770491</v>
      </c>
      <c r="Q307" s="421"/>
      <c r="R307" s="400"/>
      <c r="S307" s="401"/>
      <c r="T307" s="402" t="s">
        <v>423</v>
      </c>
      <c r="U307" s="403"/>
      <c r="V307" s="404">
        <f t="shared" si="52"/>
        <v>0</v>
      </c>
      <c r="W307" s="405" t="str">
        <f>IF(AND(P307&lt;[3]koment!$F$1,N307&gt;=[3]koment!$F$2),"Komentovat","")</f>
        <v/>
      </c>
      <c r="X307" s="406">
        <f t="shared" si="56"/>
        <v>28</v>
      </c>
      <c r="Y307" s="404" t="str">
        <f t="shared" si="53"/>
        <v xml:space="preserve"> </v>
      </c>
      <c r="Z307" s="407">
        <f t="shared" si="54"/>
        <v>0</v>
      </c>
      <c r="AA307" s="408" t="str">
        <f t="shared" si="55"/>
        <v>5600341927796121</v>
      </c>
      <c r="AB307" s="388"/>
      <c r="AC307" s="409">
        <f t="shared" si="48"/>
        <v>0</v>
      </c>
      <c r="AD307" s="388"/>
      <c r="AE307" s="388"/>
      <c r="AF307" s="388"/>
    </row>
    <row r="308" spans="1:32" outlineLevel="2" x14ac:dyDescent="0.2">
      <c r="A308" s="391">
        <f t="shared" si="44"/>
        <v>306</v>
      </c>
      <c r="B308" s="422" t="s">
        <v>420</v>
      </c>
      <c r="C308" s="393" t="s">
        <v>744</v>
      </c>
      <c r="D308" s="393">
        <v>3433</v>
      </c>
      <c r="E308" s="393">
        <v>6121</v>
      </c>
      <c r="F308" s="402" t="s">
        <v>447</v>
      </c>
      <c r="G308" s="394" t="s">
        <v>753</v>
      </c>
      <c r="H308" s="423">
        <v>2003</v>
      </c>
      <c r="I308" s="393">
        <v>2020</v>
      </c>
      <c r="J308" s="420">
        <v>1977550</v>
      </c>
      <c r="K308" s="420"/>
      <c r="L308" s="420">
        <v>24177</v>
      </c>
      <c r="M308" s="421">
        <v>10000</v>
      </c>
      <c r="N308" s="421">
        <v>21500</v>
      </c>
      <c r="O308" s="420">
        <v>11663</v>
      </c>
      <c r="P308" s="399">
        <f t="shared" si="45"/>
        <v>0.54246511627906979</v>
      </c>
      <c r="Q308" s="421">
        <v>20000</v>
      </c>
      <c r="R308" s="400">
        <v>150000</v>
      </c>
      <c r="S308" s="401">
        <v>1753873</v>
      </c>
      <c r="T308" s="402" t="s">
        <v>423</v>
      </c>
      <c r="U308" s="403"/>
      <c r="V308" s="404">
        <f t="shared" si="52"/>
        <v>8000</v>
      </c>
      <c r="W308" s="405" t="str">
        <f>IF(AND(P308&lt;[3]koment!$F$1,N308&gt;=[3]koment!$F$2),"Komentovat","")</f>
        <v>Komentovat</v>
      </c>
      <c r="X308" s="406">
        <f t="shared" si="56"/>
        <v>29</v>
      </c>
      <c r="Y308" s="404">
        <f t="shared" si="53"/>
        <v>5600</v>
      </c>
      <c r="Z308" s="407" t="str">
        <f t="shared" si="54"/>
        <v>ORG 3433 - Modernizace fotbal. stadionu za Lužánkami</v>
      </c>
      <c r="AA308" s="408" t="str">
        <f t="shared" si="55"/>
        <v>5600341934336121S</v>
      </c>
      <c r="AB308" s="388"/>
      <c r="AC308" s="409">
        <f t="shared" si="48"/>
        <v>8000</v>
      </c>
      <c r="AD308" s="388"/>
      <c r="AE308" s="388"/>
      <c r="AF308" s="388"/>
    </row>
    <row r="309" spans="1:32" outlineLevel="2" x14ac:dyDescent="0.2">
      <c r="A309" s="391">
        <f t="shared" si="44"/>
        <v>307</v>
      </c>
      <c r="B309" s="392" t="s">
        <v>680</v>
      </c>
      <c r="C309" s="393" t="s">
        <v>744</v>
      </c>
      <c r="D309" s="394">
        <v>300799</v>
      </c>
      <c r="E309" s="393">
        <v>6313</v>
      </c>
      <c r="F309" s="395"/>
      <c r="G309" s="394" t="s">
        <v>754</v>
      </c>
      <c r="H309" s="394"/>
      <c r="I309" s="394"/>
      <c r="J309" s="396"/>
      <c r="K309" s="396"/>
      <c r="L309" s="397"/>
      <c r="M309" s="398"/>
      <c r="N309" s="398">
        <v>1400</v>
      </c>
      <c r="O309" s="396">
        <v>1400</v>
      </c>
      <c r="P309" s="399">
        <f t="shared" si="45"/>
        <v>1</v>
      </c>
      <c r="Q309" s="398"/>
      <c r="R309" s="400"/>
      <c r="S309" s="401"/>
      <c r="T309" s="402" t="s">
        <v>683</v>
      </c>
      <c r="U309" s="403"/>
      <c r="V309" s="404">
        <f t="shared" si="52"/>
        <v>0</v>
      </c>
      <c r="W309" s="405" t="str">
        <f>IF(AND(P309&lt;[3]koment!$F$1,N309&gt;=[3]koment!$F$2),"Komentovat","")</f>
        <v/>
      </c>
      <c r="X309" s="406">
        <f t="shared" si="56"/>
        <v>29</v>
      </c>
      <c r="Y309" s="404" t="str">
        <f t="shared" si="53"/>
        <v xml:space="preserve"> </v>
      </c>
      <c r="Z309" s="407">
        <f t="shared" si="54"/>
        <v>0</v>
      </c>
      <c r="AA309" s="408" t="str">
        <f t="shared" si="55"/>
        <v>670034193007996313</v>
      </c>
      <c r="AB309" s="388"/>
      <c r="AC309" s="409">
        <f t="shared" si="48"/>
        <v>0</v>
      </c>
      <c r="AD309" s="388"/>
      <c r="AE309" s="388"/>
      <c r="AF309" s="388"/>
    </row>
    <row r="310" spans="1:32" outlineLevel="2" x14ac:dyDescent="0.2">
      <c r="A310" s="391">
        <f t="shared" si="44"/>
        <v>308</v>
      </c>
      <c r="B310" s="422" t="s">
        <v>680</v>
      </c>
      <c r="C310" s="393" t="s">
        <v>744</v>
      </c>
      <c r="D310" s="393">
        <v>300799</v>
      </c>
      <c r="E310" s="393">
        <v>6322</v>
      </c>
      <c r="F310" s="402"/>
      <c r="G310" s="394" t="s">
        <v>754</v>
      </c>
      <c r="H310" s="393"/>
      <c r="I310" s="393"/>
      <c r="J310" s="420"/>
      <c r="K310" s="420"/>
      <c r="L310" s="420">
        <v>24714</v>
      </c>
      <c r="M310" s="421">
        <v>33000</v>
      </c>
      <c r="N310" s="421">
        <v>30545</v>
      </c>
      <c r="O310" s="420">
        <v>30545</v>
      </c>
      <c r="P310" s="399">
        <f t="shared" si="45"/>
        <v>1</v>
      </c>
      <c r="Q310" s="421">
        <v>40000</v>
      </c>
      <c r="R310" s="400"/>
      <c r="S310" s="401"/>
      <c r="T310" s="402" t="s">
        <v>683</v>
      </c>
      <c r="U310" s="403"/>
      <c r="V310" s="404">
        <f t="shared" si="52"/>
        <v>0</v>
      </c>
      <c r="W310" s="405" t="str">
        <f>IF(AND(P310&lt;[3]koment!$F$1,N310&gt;=[3]koment!$F$2),"Komentovat","")</f>
        <v/>
      </c>
      <c r="X310" s="406">
        <f t="shared" si="56"/>
        <v>29</v>
      </c>
      <c r="Y310" s="404" t="str">
        <f t="shared" si="53"/>
        <v xml:space="preserve"> </v>
      </c>
      <c r="Z310" s="407">
        <f t="shared" si="54"/>
        <v>0</v>
      </c>
      <c r="AA310" s="408" t="str">
        <f t="shared" si="55"/>
        <v>670034193007996322</v>
      </c>
      <c r="AB310" s="388"/>
      <c r="AC310" s="409">
        <f t="shared" si="48"/>
        <v>0</v>
      </c>
      <c r="AD310" s="388"/>
      <c r="AE310" s="388"/>
      <c r="AF310" s="388"/>
    </row>
    <row r="311" spans="1:32" outlineLevel="2" x14ac:dyDescent="0.2">
      <c r="A311" s="391">
        <f t="shared" si="44"/>
        <v>309</v>
      </c>
      <c r="B311" s="392" t="s">
        <v>680</v>
      </c>
      <c r="C311" s="393" t="s">
        <v>744</v>
      </c>
      <c r="D311" s="394">
        <v>300799</v>
      </c>
      <c r="E311" s="393">
        <v>6901</v>
      </c>
      <c r="F311" s="395"/>
      <c r="G311" s="394" t="s">
        <v>755</v>
      </c>
      <c r="H311" s="394"/>
      <c r="I311" s="394"/>
      <c r="J311" s="396"/>
      <c r="K311" s="396"/>
      <c r="L311" s="397"/>
      <c r="M311" s="398">
        <v>10000</v>
      </c>
      <c r="N311" s="398">
        <v>0</v>
      </c>
      <c r="O311" s="396">
        <v>0</v>
      </c>
      <c r="P311" s="399" t="str">
        <f t="shared" si="45"/>
        <v xml:space="preserve"> </v>
      </c>
      <c r="Q311" s="398"/>
      <c r="R311" s="400"/>
      <c r="S311" s="401"/>
      <c r="T311" s="402" t="s">
        <v>683</v>
      </c>
      <c r="U311" s="403"/>
      <c r="V311" s="404">
        <f t="shared" si="52"/>
        <v>0</v>
      </c>
      <c r="W311" s="405" t="str">
        <f>IF(AND(P311&lt;[3]koment!$F$1,N311&gt;=[3]koment!$F$2),"Komentovat","")</f>
        <v/>
      </c>
      <c r="X311" s="406">
        <f t="shared" si="56"/>
        <v>29</v>
      </c>
      <c r="Y311" s="404" t="str">
        <f t="shared" si="53"/>
        <v xml:space="preserve"> </v>
      </c>
      <c r="Z311" s="407">
        <f t="shared" si="54"/>
        <v>0</v>
      </c>
      <c r="AA311" s="408" t="str">
        <f t="shared" si="55"/>
        <v>670034193007996901</v>
      </c>
      <c r="AB311" s="388"/>
      <c r="AC311" s="409">
        <f t="shared" si="48"/>
        <v>0</v>
      </c>
      <c r="AD311" s="388"/>
      <c r="AE311" s="388"/>
      <c r="AF311" s="388"/>
    </row>
    <row r="312" spans="1:32" outlineLevel="1" x14ac:dyDescent="0.2">
      <c r="A312" s="391">
        <f t="shared" si="44"/>
        <v>310</v>
      </c>
      <c r="B312" s="392"/>
      <c r="C312" s="424" t="s">
        <v>756</v>
      </c>
      <c r="D312" s="394"/>
      <c r="E312" s="393"/>
      <c r="F312" s="395"/>
      <c r="G312" s="394"/>
      <c r="H312" s="394"/>
      <c r="I312" s="394"/>
      <c r="J312" s="396">
        <f t="shared" ref="J312:O312" si="65">SUBTOTAL(9,J301:J311)</f>
        <v>2079705</v>
      </c>
      <c r="K312" s="396">
        <f t="shared" si="65"/>
        <v>0</v>
      </c>
      <c r="L312" s="397">
        <f t="shared" si="65"/>
        <v>51267</v>
      </c>
      <c r="M312" s="398">
        <f t="shared" si="65"/>
        <v>105000</v>
      </c>
      <c r="N312" s="398">
        <f t="shared" si="65"/>
        <v>91204</v>
      </c>
      <c r="O312" s="396">
        <f t="shared" si="65"/>
        <v>80430</v>
      </c>
      <c r="P312" s="399">
        <f t="shared" si="45"/>
        <v>0.88186921626244463</v>
      </c>
      <c r="Q312" s="398">
        <f>SUBTOTAL(9,Q301:Q311)</f>
        <v>126200</v>
      </c>
      <c r="R312" s="400">
        <f>SUBTOTAL(9,R301:R311)</f>
        <v>298620</v>
      </c>
      <c r="S312" s="401">
        <f>SUBTOTAL(9,S301:S311)</f>
        <v>1753873</v>
      </c>
      <c r="T312" s="402"/>
      <c r="U312" s="403"/>
      <c r="V312" s="404"/>
      <c r="W312" s="405"/>
      <c r="X312" s="406"/>
      <c r="Y312" s="404" t="str">
        <f>IF($V312=0," ",IF(LEN($B312)=4,$B312*1,$B312))</f>
        <v xml:space="preserve"> </v>
      </c>
      <c r="Z312" s="407">
        <f>IF($Y312=" ",0,"ORG "&amp;$D312&amp;" - "&amp;$G312)</f>
        <v>0</v>
      </c>
      <c r="AA312" s="408" t="str">
        <f>$B312&amp;LEFT($C312,4)&amp;$D312&amp;$E312&amp;$F312</f>
        <v>Celk</v>
      </c>
      <c r="AB312" s="388"/>
      <c r="AC312" s="409"/>
      <c r="AD312" s="388"/>
      <c r="AE312" s="388"/>
      <c r="AF312" s="388"/>
    </row>
    <row r="313" spans="1:32" outlineLevel="2" x14ac:dyDescent="0.2">
      <c r="A313" s="391">
        <f t="shared" si="44"/>
        <v>311</v>
      </c>
      <c r="B313" s="422" t="s">
        <v>420</v>
      </c>
      <c r="C313" s="393" t="s">
        <v>757</v>
      </c>
      <c r="D313" s="393">
        <v>5179</v>
      </c>
      <c r="E313" s="393">
        <v>6121</v>
      </c>
      <c r="F313" s="427" t="s">
        <v>490</v>
      </c>
      <c r="G313" s="394" t="s">
        <v>758</v>
      </c>
      <c r="H313" s="393">
        <v>2013</v>
      </c>
      <c r="I313" s="393">
        <v>2016</v>
      </c>
      <c r="J313" s="420">
        <v>38926</v>
      </c>
      <c r="K313" s="420">
        <v>24800</v>
      </c>
      <c r="L313" s="420">
        <v>36621</v>
      </c>
      <c r="M313" s="421"/>
      <c r="N313" s="421">
        <v>100</v>
      </c>
      <c r="O313" s="420">
        <v>82</v>
      </c>
      <c r="P313" s="399">
        <f t="shared" si="45"/>
        <v>0.82</v>
      </c>
      <c r="Q313" s="421"/>
      <c r="R313" s="400"/>
      <c r="S313" s="401"/>
      <c r="T313" s="402" t="s">
        <v>423</v>
      </c>
      <c r="U313" s="403"/>
      <c r="V313" s="404">
        <f t="shared" si="52"/>
        <v>2205</v>
      </c>
      <c r="W313" s="405" t="str">
        <f>IF(AND(P313&lt;[3]koment!$F$1,N313&gt;=[3]koment!$F$2),"Komentovat","")</f>
        <v/>
      </c>
      <c r="X313" s="406">
        <f>IF(W313="Komentovat",X311+1,X311)</f>
        <v>29</v>
      </c>
      <c r="Y313" s="404">
        <f t="shared" si="53"/>
        <v>5600</v>
      </c>
      <c r="Z313" s="407" t="str">
        <f t="shared" si="54"/>
        <v>ORG 5179 - Rekonstrukce sportovišť v MČ Brno-střed</v>
      </c>
      <c r="AA313" s="408" t="str">
        <f t="shared" si="55"/>
        <v>5600342151796121EU</v>
      </c>
      <c r="AB313" s="388"/>
      <c r="AC313" s="409">
        <f t="shared" si="48"/>
        <v>2205</v>
      </c>
      <c r="AD313" s="388"/>
      <c r="AE313" s="388"/>
      <c r="AF313" s="388"/>
    </row>
    <row r="314" spans="1:32" outlineLevel="2" x14ac:dyDescent="0.2">
      <c r="A314" s="391">
        <f t="shared" si="44"/>
        <v>312</v>
      </c>
      <c r="B314" s="422" t="s">
        <v>420</v>
      </c>
      <c r="C314" s="393" t="s">
        <v>757</v>
      </c>
      <c r="D314" s="393">
        <v>5180</v>
      </c>
      <c r="E314" s="393">
        <v>6121</v>
      </c>
      <c r="F314" s="427" t="s">
        <v>490</v>
      </c>
      <c r="G314" s="394" t="s">
        <v>759</v>
      </c>
      <c r="H314" s="393">
        <v>2013</v>
      </c>
      <c r="I314" s="393">
        <v>2016</v>
      </c>
      <c r="J314" s="420">
        <v>6164</v>
      </c>
      <c r="K314" s="420">
        <v>5065</v>
      </c>
      <c r="L314" s="420">
        <v>5344</v>
      </c>
      <c r="M314" s="421">
        <v>50</v>
      </c>
      <c r="N314" s="421">
        <v>50</v>
      </c>
      <c r="O314" s="420">
        <v>12</v>
      </c>
      <c r="P314" s="399">
        <f t="shared" si="45"/>
        <v>0.24</v>
      </c>
      <c r="Q314" s="421"/>
      <c r="R314" s="400"/>
      <c r="S314" s="401"/>
      <c r="T314" s="402" t="s">
        <v>423</v>
      </c>
      <c r="U314" s="454"/>
      <c r="V314" s="404">
        <f t="shared" si="52"/>
        <v>770</v>
      </c>
      <c r="W314" s="405" t="str">
        <f>IF(AND(P314&lt;[3]koment!$F$1,N314&gt;=[3]koment!$F$2),"Komentovat","")</f>
        <v/>
      </c>
      <c r="X314" s="406">
        <f t="shared" si="56"/>
        <v>29</v>
      </c>
      <c r="Y314" s="404">
        <f t="shared" si="53"/>
        <v>5600</v>
      </c>
      <c r="Z314" s="407" t="str">
        <f t="shared" si="54"/>
        <v>ORG 5180 - Regenerace sportovišť Vsetínská, Trýbova, Čechyňská</v>
      </c>
      <c r="AA314" s="408" t="str">
        <f t="shared" si="55"/>
        <v>5600342151806121EU</v>
      </c>
      <c r="AB314" s="388"/>
      <c r="AC314" s="409">
        <f t="shared" si="48"/>
        <v>770</v>
      </c>
      <c r="AD314" s="388"/>
      <c r="AE314" s="388"/>
      <c r="AF314" s="388"/>
    </row>
    <row r="315" spans="1:32" outlineLevel="2" x14ac:dyDescent="0.2">
      <c r="A315" s="391">
        <f t="shared" si="44"/>
        <v>313</v>
      </c>
      <c r="B315" s="422" t="s">
        <v>420</v>
      </c>
      <c r="C315" s="393" t="s">
        <v>757</v>
      </c>
      <c r="D315" s="393">
        <v>5181</v>
      </c>
      <c r="E315" s="393">
        <v>6121</v>
      </c>
      <c r="F315" s="427" t="s">
        <v>490</v>
      </c>
      <c r="G315" s="413" t="s">
        <v>760</v>
      </c>
      <c r="H315" s="393">
        <v>2013</v>
      </c>
      <c r="I315" s="393">
        <v>2016</v>
      </c>
      <c r="J315" s="420">
        <v>7492</v>
      </c>
      <c r="K315" s="420">
        <v>5339</v>
      </c>
      <c r="L315" s="420">
        <v>7342</v>
      </c>
      <c r="M315" s="421"/>
      <c r="N315" s="421">
        <v>14</v>
      </c>
      <c r="O315" s="420">
        <v>12</v>
      </c>
      <c r="P315" s="399">
        <f t="shared" si="45"/>
        <v>0.8571428571428571</v>
      </c>
      <c r="Q315" s="421"/>
      <c r="R315" s="400"/>
      <c r="S315" s="401"/>
      <c r="T315" s="402" t="s">
        <v>423</v>
      </c>
      <c r="U315" s="403"/>
      <c r="V315" s="404">
        <f t="shared" si="52"/>
        <v>136</v>
      </c>
      <c r="W315" s="405" t="str">
        <f>IF(AND(P315&lt;[3]koment!$F$1,N315&gt;=[3]koment!$F$2),"Komentovat","")</f>
        <v/>
      </c>
      <c r="X315" s="406">
        <f t="shared" si="56"/>
        <v>29</v>
      </c>
      <c r="Y315" s="404">
        <f t="shared" si="53"/>
        <v>5600</v>
      </c>
      <c r="Z315" s="407" t="str">
        <f t="shared" si="54"/>
        <v>ORG 5181 - Regenerace veř. prostranství pro volnočas. aktivity nekomerčního charakteru MČ Brno-sever</v>
      </c>
      <c r="AA315" s="408" t="str">
        <f t="shared" si="55"/>
        <v>5600342151816121EU</v>
      </c>
      <c r="AB315" s="388"/>
      <c r="AC315" s="409">
        <f t="shared" si="48"/>
        <v>136</v>
      </c>
      <c r="AD315" s="388"/>
      <c r="AE315" s="388"/>
      <c r="AF315" s="388"/>
    </row>
    <row r="316" spans="1:32" outlineLevel="2" x14ac:dyDescent="0.2">
      <c r="A316" s="391">
        <f t="shared" si="44"/>
        <v>314</v>
      </c>
      <c r="B316" s="422" t="s">
        <v>420</v>
      </c>
      <c r="C316" s="393" t="s">
        <v>757</v>
      </c>
      <c r="D316" s="393">
        <v>5192</v>
      </c>
      <c r="E316" s="393">
        <v>6121</v>
      </c>
      <c r="F316" s="427" t="s">
        <v>490</v>
      </c>
      <c r="G316" s="455" t="s">
        <v>761</v>
      </c>
      <c r="H316" s="393">
        <v>2014</v>
      </c>
      <c r="I316" s="393">
        <v>2016</v>
      </c>
      <c r="J316" s="420">
        <v>3116</v>
      </c>
      <c r="K316" s="420">
        <v>1104</v>
      </c>
      <c r="L316" s="420">
        <v>2211</v>
      </c>
      <c r="M316" s="421"/>
      <c r="N316" s="421">
        <v>20</v>
      </c>
      <c r="O316" s="420">
        <v>5</v>
      </c>
      <c r="P316" s="399">
        <f t="shared" si="45"/>
        <v>0.25</v>
      </c>
      <c r="Q316" s="421"/>
      <c r="R316" s="400"/>
      <c r="S316" s="401"/>
      <c r="T316" s="402" t="s">
        <v>423</v>
      </c>
      <c r="U316" s="454"/>
      <c r="V316" s="404">
        <f t="shared" si="52"/>
        <v>885</v>
      </c>
      <c r="W316" s="405" t="str">
        <f>IF(AND(P316&lt;[3]koment!$F$1,N316&gt;=[3]koment!$F$2),"Komentovat","")</f>
        <v/>
      </c>
      <c r="X316" s="406">
        <f t="shared" si="56"/>
        <v>29</v>
      </c>
      <c r="Y316" s="404">
        <f t="shared" si="53"/>
        <v>5600</v>
      </c>
      <c r="Z316" s="407" t="str">
        <f t="shared" si="54"/>
        <v>ORG 5192 - Zateplení fasády objektu SVČ a KJM Lány 3 v MČ Brno-Bohunice</v>
      </c>
      <c r="AA316" s="408" t="str">
        <f t="shared" si="55"/>
        <v>5600342151926121EU</v>
      </c>
      <c r="AB316" s="388"/>
      <c r="AC316" s="409">
        <f t="shared" si="48"/>
        <v>885</v>
      </c>
      <c r="AD316" s="388"/>
      <c r="AE316" s="388"/>
      <c r="AF316" s="388"/>
    </row>
    <row r="317" spans="1:32" ht="25.5" outlineLevel="2" x14ac:dyDescent="0.2">
      <c r="A317" s="391">
        <f t="shared" si="44"/>
        <v>315</v>
      </c>
      <c r="B317" s="419" t="s">
        <v>420</v>
      </c>
      <c r="C317" s="393" t="s">
        <v>757</v>
      </c>
      <c r="D317" s="393">
        <v>5199</v>
      </c>
      <c r="E317" s="393">
        <v>6121</v>
      </c>
      <c r="F317" s="427" t="s">
        <v>490</v>
      </c>
      <c r="G317" s="456" t="s">
        <v>762</v>
      </c>
      <c r="H317" s="393">
        <v>2014</v>
      </c>
      <c r="I317" s="393">
        <v>2016</v>
      </c>
      <c r="J317" s="437">
        <v>6772</v>
      </c>
      <c r="K317" s="437">
        <v>5483</v>
      </c>
      <c r="L317" s="420">
        <v>6746</v>
      </c>
      <c r="M317" s="439"/>
      <c r="N317" s="439">
        <v>30</v>
      </c>
      <c r="O317" s="437">
        <v>10</v>
      </c>
      <c r="P317" s="399">
        <f t="shared" si="45"/>
        <v>0.33333333333333331</v>
      </c>
      <c r="Q317" s="439"/>
      <c r="R317" s="421"/>
      <c r="S317" s="451"/>
      <c r="T317" s="435" t="s">
        <v>423</v>
      </c>
      <c r="U317" s="454"/>
      <c r="V317" s="404">
        <f t="shared" si="52"/>
        <v>-4</v>
      </c>
      <c r="W317" s="405" t="str">
        <f>IF(AND(P317&lt;[3]koment!$F$1,N317&gt;=[3]koment!$F$2),"Komentovat","")</f>
        <v/>
      </c>
      <c r="X317" s="406">
        <f t="shared" si="56"/>
        <v>29</v>
      </c>
      <c r="Y317" s="404">
        <f t="shared" si="53"/>
        <v>5600</v>
      </c>
      <c r="Z317" s="407" t="str">
        <f t="shared" si="54"/>
        <v>ORG 5199 - Regenerace veřejných prostranství pro volnočasové aktivity a revitalizace volně přístupných sportovišť v MČ Brno-Jundrov</v>
      </c>
      <c r="AA317" s="408" t="str">
        <f t="shared" si="55"/>
        <v>5600342151996121EU</v>
      </c>
      <c r="AB317" s="388"/>
      <c r="AC317" s="409">
        <f t="shared" si="48"/>
        <v>-4</v>
      </c>
      <c r="AD317" s="388"/>
      <c r="AE317" s="388"/>
      <c r="AF317" s="388"/>
    </row>
    <row r="318" spans="1:32" ht="25.5" outlineLevel="2" x14ac:dyDescent="0.2">
      <c r="A318" s="391">
        <f t="shared" si="44"/>
        <v>316</v>
      </c>
      <c r="B318" s="419" t="s">
        <v>420</v>
      </c>
      <c r="C318" s="393" t="s">
        <v>757</v>
      </c>
      <c r="D318" s="393">
        <v>5200</v>
      </c>
      <c r="E318" s="393">
        <v>6121</v>
      </c>
      <c r="F318" s="427" t="s">
        <v>490</v>
      </c>
      <c r="G318" s="456" t="s">
        <v>763</v>
      </c>
      <c r="H318" s="393">
        <v>2014</v>
      </c>
      <c r="I318" s="393">
        <v>2016</v>
      </c>
      <c r="J318" s="437">
        <v>7785</v>
      </c>
      <c r="K318" s="437">
        <v>6336</v>
      </c>
      <c r="L318" s="420">
        <v>6927</v>
      </c>
      <c r="M318" s="439"/>
      <c r="N318" s="439">
        <v>110</v>
      </c>
      <c r="O318" s="437">
        <v>19</v>
      </c>
      <c r="P318" s="399">
        <f t="shared" si="45"/>
        <v>0.17272727272727273</v>
      </c>
      <c r="Q318" s="439"/>
      <c r="R318" s="421"/>
      <c r="S318" s="451"/>
      <c r="T318" s="435" t="s">
        <v>423</v>
      </c>
      <c r="U318" s="454"/>
      <c r="V318" s="404">
        <f t="shared" si="52"/>
        <v>748</v>
      </c>
      <c r="W318" s="405" t="str">
        <f>IF(AND(P318&lt;[3]koment!$F$1,N318&gt;=[3]koment!$F$2),"Komentovat","")</f>
        <v/>
      </c>
      <c r="X318" s="406">
        <f t="shared" si="56"/>
        <v>29</v>
      </c>
      <c r="Y318" s="404">
        <f t="shared" si="53"/>
        <v>5600</v>
      </c>
      <c r="Z318" s="407" t="str">
        <f t="shared" si="54"/>
        <v>ORG 5200 - Regenerace sportovišť v lokalitách Rybářská, Botanická a transformace sportoviště Vysoká na parkour</v>
      </c>
      <c r="AA318" s="408" t="str">
        <f t="shared" si="55"/>
        <v>5600342152006121EU</v>
      </c>
      <c r="AB318" s="388"/>
      <c r="AC318" s="409">
        <f t="shared" si="48"/>
        <v>748</v>
      </c>
      <c r="AD318" s="388"/>
      <c r="AE318" s="388"/>
      <c r="AF318" s="388"/>
    </row>
    <row r="319" spans="1:32" outlineLevel="2" x14ac:dyDescent="0.2">
      <c r="A319" s="391">
        <f t="shared" si="44"/>
        <v>317</v>
      </c>
      <c r="B319" s="419" t="s">
        <v>420</v>
      </c>
      <c r="C319" s="393" t="s">
        <v>757</v>
      </c>
      <c r="D319" s="393">
        <v>5213</v>
      </c>
      <c r="E319" s="393">
        <v>6121</v>
      </c>
      <c r="F319" s="427" t="s">
        <v>490</v>
      </c>
      <c r="G319" s="393" t="s">
        <v>764</v>
      </c>
      <c r="H319" s="393">
        <v>2015</v>
      </c>
      <c r="I319" s="393">
        <v>2016</v>
      </c>
      <c r="J319" s="437">
        <v>10623</v>
      </c>
      <c r="K319" s="437">
        <v>2437</v>
      </c>
      <c r="L319" s="438">
        <v>8308</v>
      </c>
      <c r="M319" s="439">
        <v>50</v>
      </c>
      <c r="N319" s="439">
        <v>50</v>
      </c>
      <c r="O319" s="437">
        <v>18</v>
      </c>
      <c r="P319" s="399">
        <f t="shared" si="45"/>
        <v>0.36</v>
      </c>
      <c r="Q319" s="439"/>
      <c r="R319" s="421"/>
      <c r="S319" s="451"/>
      <c r="T319" s="435" t="s">
        <v>423</v>
      </c>
      <c r="U319" s="454"/>
      <c r="V319" s="404">
        <f t="shared" si="52"/>
        <v>2265</v>
      </c>
      <c r="W319" s="405" t="str">
        <f>IF(AND(P319&lt;[3]koment!$F$1,N319&gt;=[3]koment!$F$2),"Komentovat","")</f>
        <v/>
      </c>
      <c r="X319" s="406">
        <f t="shared" si="56"/>
        <v>29</v>
      </c>
      <c r="Y319" s="404">
        <f t="shared" si="53"/>
        <v>5600</v>
      </c>
      <c r="Z319" s="407" t="str">
        <f t="shared" si="54"/>
        <v>ORG 5213 - Zateplení SVČ Kosmonautů</v>
      </c>
      <c r="AA319" s="408" t="str">
        <f t="shared" si="55"/>
        <v>5600342152136121EU</v>
      </c>
      <c r="AB319" s="388"/>
      <c r="AC319" s="409">
        <f t="shared" si="48"/>
        <v>2265</v>
      </c>
      <c r="AD319" s="388"/>
      <c r="AE319" s="388"/>
      <c r="AF319" s="388"/>
    </row>
    <row r="320" spans="1:32" outlineLevel="1" x14ac:dyDescent="0.2">
      <c r="A320" s="391">
        <f t="shared" si="44"/>
        <v>318</v>
      </c>
      <c r="B320" s="419"/>
      <c r="C320" s="424" t="s">
        <v>765</v>
      </c>
      <c r="D320" s="393"/>
      <c r="E320" s="393"/>
      <c r="F320" s="427"/>
      <c r="G320" s="393"/>
      <c r="H320" s="393"/>
      <c r="I320" s="393"/>
      <c r="J320" s="437">
        <f t="shared" ref="J320:O320" si="66">SUBTOTAL(9,J313:J319)</f>
        <v>80878</v>
      </c>
      <c r="K320" s="437">
        <f t="shared" si="66"/>
        <v>50564</v>
      </c>
      <c r="L320" s="438">
        <f t="shared" si="66"/>
        <v>73499</v>
      </c>
      <c r="M320" s="439">
        <f t="shared" si="66"/>
        <v>100</v>
      </c>
      <c r="N320" s="439">
        <f t="shared" si="66"/>
        <v>374</v>
      </c>
      <c r="O320" s="437">
        <f t="shared" si="66"/>
        <v>158</v>
      </c>
      <c r="P320" s="399">
        <f t="shared" si="45"/>
        <v>0.42245989304812837</v>
      </c>
      <c r="Q320" s="439">
        <f>SUBTOTAL(9,Q313:Q319)</f>
        <v>0</v>
      </c>
      <c r="R320" s="421">
        <f>SUBTOTAL(9,R313:R319)</f>
        <v>0</v>
      </c>
      <c r="S320" s="451">
        <f>SUBTOTAL(9,S313:S319)</f>
        <v>0</v>
      </c>
      <c r="T320" s="435"/>
      <c r="U320" s="454"/>
      <c r="V320" s="404"/>
      <c r="W320" s="405"/>
      <c r="X320" s="406"/>
      <c r="Y320" s="404" t="str">
        <f>IF($V320=0," ",IF(LEN($B320)=4,$B320*1,$B320))</f>
        <v xml:space="preserve"> </v>
      </c>
      <c r="Z320" s="407">
        <f>IF($Y320=" ",0,"ORG "&amp;$D320&amp;" - "&amp;$G320)</f>
        <v>0</v>
      </c>
      <c r="AA320" s="408" t="str">
        <f>$B320&amp;LEFT($C320,4)&amp;$D320&amp;$E320&amp;$F320</f>
        <v>Celk</v>
      </c>
      <c r="AB320" s="388"/>
      <c r="AC320" s="409"/>
      <c r="AD320" s="388"/>
      <c r="AE320" s="388"/>
      <c r="AF320" s="388"/>
    </row>
    <row r="321" spans="1:32" outlineLevel="2" x14ac:dyDescent="0.2">
      <c r="A321" s="391">
        <f t="shared" si="44"/>
        <v>319</v>
      </c>
      <c r="B321" s="457" t="s">
        <v>420</v>
      </c>
      <c r="C321" s="393" t="s">
        <v>766</v>
      </c>
      <c r="D321" s="393">
        <v>5144</v>
      </c>
      <c r="E321" s="393">
        <v>6121</v>
      </c>
      <c r="F321" s="427" t="s">
        <v>490</v>
      </c>
      <c r="G321" s="393" t="s">
        <v>767</v>
      </c>
      <c r="H321" s="423">
        <v>2012</v>
      </c>
      <c r="I321" s="423">
        <v>2017</v>
      </c>
      <c r="J321" s="420">
        <v>23000</v>
      </c>
      <c r="K321" s="420">
        <v>21227</v>
      </c>
      <c r="L321" s="420">
        <v>21226</v>
      </c>
      <c r="M321" s="421"/>
      <c r="N321" s="421">
        <v>40</v>
      </c>
      <c r="O321" s="420">
        <v>0</v>
      </c>
      <c r="P321" s="399">
        <f t="shared" si="45"/>
        <v>0</v>
      </c>
      <c r="Q321" s="421">
        <v>40</v>
      </c>
      <c r="R321" s="421"/>
      <c r="S321" s="451"/>
      <c r="T321" s="435" t="s">
        <v>423</v>
      </c>
      <c r="U321" s="454"/>
      <c r="V321" s="404">
        <f t="shared" si="52"/>
        <v>1694</v>
      </c>
      <c r="W321" s="405" t="str">
        <f>IF(AND(P321&lt;[3]koment!$F$1,N321&gt;=[3]koment!$F$2),"Komentovat","")</f>
        <v/>
      </c>
      <c r="X321" s="406">
        <f>IF(W321="Komentovat",X319+1,X319)</f>
        <v>29</v>
      </c>
      <c r="Y321" s="404">
        <f t="shared" si="53"/>
        <v>5600</v>
      </c>
      <c r="Z321" s="407" t="str">
        <f t="shared" si="54"/>
        <v>ORG 5144 - Zvýšení atraktivity Brněnské přehrady</v>
      </c>
      <c r="AA321" s="408" t="str">
        <f t="shared" si="55"/>
        <v>5600342951446121EU</v>
      </c>
      <c r="AB321" s="388"/>
      <c r="AC321" s="409">
        <f t="shared" si="48"/>
        <v>1694</v>
      </c>
      <c r="AD321" s="388"/>
      <c r="AE321" s="388"/>
      <c r="AF321" s="388"/>
    </row>
    <row r="322" spans="1:32" outlineLevel="2" x14ac:dyDescent="0.2">
      <c r="A322" s="391">
        <f t="shared" si="44"/>
        <v>320</v>
      </c>
      <c r="B322" s="457" t="s">
        <v>420</v>
      </c>
      <c r="C322" s="393" t="s">
        <v>766</v>
      </c>
      <c r="D322" s="393">
        <v>5182</v>
      </c>
      <c r="E322" s="393">
        <v>6121</v>
      </c>
      <c r="F322" s="427" t="s">
        <v>490</v>
      </c>
      <c r="G322" s="393" t="s">
        <v>768</v>
      </c>
      <c r="H322" s="423">
        <v>2013</v>
      </c>
      <c r="I322" s="423">
        <v>2016</v>
      </c>
      <c r="J322" s="420">
        <v>11495</v>
      </c>
      <c r="K322" s="420">
        <v>9325</v>
      </c>
      <c r="L322" s="420">
        <v>9217</v>
      </c>
      <c r="M322" s="421"/>
      <c r="N322" s="421">
        <v>15</v>
      </c>
      <c r="O322" s="420">
        <v>10</v>
      </c>
      <c r="P322" s="399">
        <f t="shared" si="45"/>
        <v>0.66666666666666663</v>
      </c>
      <c r="Q322" s="421"/>
      <c r="R322" s="421"/>
      <c r="S322" s="451"/>
      <c r="T322" s="435" t="s">
        <v>423</v>
      </c>
      <c r="U322" s="454"/>
      <c r="V322" s="404">
        <f t="shared" si="52"/>
        <v>2263</v>
      </c>
      <c r="W322" s="405" t="str">
        <f>IF(AND(P322&lt;[3]koment!$F$1,N322&gt;=[3]koment!$F$2),"Komentovat","")</f>
        <v/>
      </c>
      <c r="X322" s="406">
        <f t="shared" si="56"/>
        <v>29</v>
      </c>
      <c r="Y322" s="404">
        <f t="shared" si="53"/>
        <v>5600</v>
      </c>
      <c r="Z322" s="407" t="str">
        <f t="shared" si="54"/>
        <v>ORG 5182 - Sportovně-rekreační plocha Kartouzská</v>
      </c>
      <c r="AA322" s="408" t="str">
        <f t="shared" si="55"/>
        <v>5600342951826121EU</v>
      </c>
      <c r="AB322" s="388"/>
      <c r="AC322" s="409">
        <f t="shared" si="48"/>
        <v>2263</v>
      </c>
      <c r="AD322" s="388"/>
      <c r="AE322" s="388"/>
      <c r="AF322" s="388"/>
    </row>
    <row r="323" spans="1:32" outlineLevel="1" x14ac:dyDescent="0.2">
      <c r="A323" s="391">
        <f t="shared" si="44"/>
        <v>321</v>
      </c>
      <c r="B323" s="457"/>
      <c r="C323" s="424" t="s">
        <v>769</v>
      </c>
      <c r="D323" s="393"/>
      <c r="E323" s="393"/>
      <c r="F323" s="427"/>
      <c r="G323" s="393"/>
      <c r="H323" s="423"/>
      <c r="I323" s="423"/>
      <c r="J323" s="420">
        <f t="shared" ref="J323:O323" si="67">SUBTOTAL(9,J321:J322)</f>
        <v>34495</v>
      </c>
      <c r="K323" s="420">
        <f t="shared" si="67"/>
        <v>30552</v>
      </c>
      <c r="L323" s="420">
        <f t="shared" si="67"/>
        <v>30443</v>
      </c>
      <c r="M323" s="421">
        <f t="shared" si="67"/>
        <v>0</v>
      </c>
      <c r="N323" s="421">
        <f t="shared" si="67"/>
        <v>55</v>
      </c>
      <c r="O323" s="420">
        <f t="shared" si="67"/>
        <v>10</v>
      </c>
      <c r="P323" s="399">
        <f t="shared" si="45"/>
        <v>0.18181818181818182</v>
      </c>
      <c r="Q323" s="421">
        <f>SUBTOTAL(9,Q321:Q322)</f>
        <v>40</v>
      </c>
      <c r="R323" s="421">
        <f>SUBTOTAL(9,R321:R322)</f>
        <v>0</v>
      </c>
      <c r="S323" s="451">
        <f>SUBTOTAL(9,S321:S322)</f>
        <v>0</v>
      </c>
      <c r="T323" s="435"/>
      <c r="U323" s="454"/>
      <c r="V323" s="404"/>
      <c r="W323" s="405"/>
      <c r="X323" s="406"/>
      <c r="Y323" s="404" t="str">
        <f>IF($V323=0," ",IF(LEN($B323)=4,$B323*1,$B323))</f>
        <v xml:space="preserve"> </v>
      </c>
      <c r="Z323" s="407">
        <f>IF($Y323=" ",0,"ORG "&amp;$D323&amp;" - "&amp;$G323)</f>
        <v>0</v>
      </c>
      <c r="AA323" s="408" t="str">
        <f>$B323&amp;LEFT($C323,4)&amp;$D323&amp;$E323&amp;$F323</f>
        <v>Celk</v>
      </c>
      <c r="AB323" s="388"/>
      <c r="AC323" s="409"/>
      <c r="AD323" s="388"/>
      <c r="AE323" s="388"/>
      <c r="AF323" s="388"/>
    </row>
    <row r="324" spans="1:32" outlineLevel="2" x14ac:dyDescent="0.2">
      <c r="A324" s="391">
        <f t="shared" ref="A324:A387" si="68">ROW()-2</f>
        <v>322</v>
      </c>
      <c r="B324" s="457" t="s">
        <v>420</v>
      </c>
      <c r="C324" s="393" t="s">
        <v>770</v>
      </c>
      <c r="D324" s="393">
        <v>3075</v>
      </c>
      <c r="E324" s="393">
        <v>6121</v>
      </c>
      <c r="F324" s="435" t="s">
        <v>447</v>
      </c>
      <c r="G324" s="393" t="s">
        <v>771</v>
      </c>
      <c r="H324" s="423">
        <v>2009</v>
      </c>
      <c r="I324" s="393">
        <v>2020</v>
      </c>
      <c r="J324" s="420">
        <v>360590</v>
      </c>
      <c r="K324" s="420"/>
      <c r="L324" s="420">
        <v>6443</v>
      </c>
      <c r="M324" s="421">
        <v>23000</v>
      </c>
      <c r="N324" s="421">
        <v>22000</v>
      </c>
      <c r="O324" s="420">
        <v>20049</v>
      </c>
      <c r="P324" s="399">
        <f t="shared" ref="P324:P387" si="69">IF(N324&lt;=0," ",O324/N324)</f>
        <v>0.91131818181818181</v>
      </c>
      <c r="Q324" s="421">
        <v>5510</v>
      </c>
      <c r="R324" s="421">
        <v>5000</v>
      </c>
      <c r="S324" s="451">
        <v>321637</v>
      </c>
      <c r="T324" s="435" t="s">
        <v>423</v>
      </c>
      <c r="U324" s="454"/>
      <c r="V324" s="404">
        <f t="shared" si="52"/>
        <v>0</v>
      </c>
      <c r="W324" s="405" t="str">
        <f>IF(AND(P324&lt;[3]koment!$F$1,N324&gt;=[3]koment!$F$2),"Komentovat","")</f>
        <v/>
      </c>
      <c r="X324" s="406">
        <f>IF(W324="Komentovat",X322+1,X322)</f>
        <v>29</v>
      </c>
      <c r="Y324" s="404" t="str">
        <f t="shared" si="53"/>
        <v xml:space="preserve"> </v>
      </c>
      <c r="Z324" s="407">
        <f t="shared" si="54"/>
        <v>0</v>
      </c>
      <c r="AA324" s="408" t="str">
        <f t="shared" si="55"/>
        <v>5600351130756121S</v>
      </c>
      <c r="AB324" s="388"/>
      <c r="AC324" s="409">
        <f t="shared" si="48"/>
        <v>0</v>
      </c>
      <c r="AD324" s="388"/>
      <c r="AE324" s="388"/>
      <c r="AF324" s="388"/>
    </row>
    <row r="325" spans="1:32" outlineLevel="2" x14ac:dyDescent="0.2">
      <c r="A325" s="391">
        <f t="shared" si="68"/>
        <v>323</v>
      </c>
      <c r="B325" s="392" t="s">
        <v>420</v>
      </c>
      <c r="C325" s="393" t="s">
        <v>770</v>
      </c>
      <c r="D325" s="394">
        <v>5336</v>
      </c>
      <c r="E325" s="393">
        <v>6121</v>
      </c>
      <c r="F325" s="427" t="s">
        <v>490</v>
      </c>
      <c r="G325" s="394" t="s">
        <v>772</v>
      </c>
      <c r="H325" s="394">
        <v>2016</v>
      </c>
      <c r="I325" s="394">
        <v>2018</v>
      </c>
      <c r="J325" s="396">
        <v>153986</v>
      </c>
      <c r="K325" s="396"/>
      <c r="L325" s="397"/>
      <c r="M325" s="398"/>
      <c r="N325" s="398">
        <v>100</v>
      </c>
      <c r="O325" s="396">
        <v>4</v>
      </c>
      <c r="P325" s="399">
        <f t="shared" si="69"/>
        <v>0.04</v>
      </c>
      <c r="Q325" s="398">
        <v>2000</v>
      </c>
      <c r="R325" s="400"/>
      <c r="S325" s="401"/>
      <c r="T325" s="402" t="s">
        <v>423</v>
      </c>
      <c r="U325" s="454"/>
      <c r="V325" s="404">
        <f t="shared" si="52"/>
        <v>151886</v>
      </c>
      <c r="W325" s="405" t="str">
        <f>IF(AND(P325&lt;[3]koment!$F$1,N325&gt;=[3]koment!$F$2),"Komentovat","")</f>
        <v/>
      </c>
      <c r="X325" s="406">
        <f t="shared" si="56"/>
        <v>29</v>
      </c>
      <c r="Y325" s="404">
        <f t="shared" si="53"/>
        <v>5600</v>
      </c>
      <c r="Z325" s="407" t="str">
        <f t="shared" si="54"/>
        <v>ORG 5336 - Stavební úpravy polikliniky Lesná</v>
      </c>
      <c r="AA325" s="408" t="str">
        <f t="shared" si="55"/>
        <v>5600351153366121EU</v>
      </c>
      <c r="AB325" s="388"/>
      <c r="AC325" s="409">
        <f t="shared" si="48"/>
        <v>151886</v>
      </c>
      <c r="AD325" s="388"/>
      <c r="AE325" s="388"/>
      <c r="AF325" s="388"/>
    </row>
    <row r="326" spans="1:32" outlineLevel="1" x14ac:dyDescent="0.2">
      <c r="A326" s="391">
        <f t="shared" si="68"/>
        <v>324</v>
      </c>
      <c r="B326" s="392"/>
      <c r="C326" s="424" t="s">
        <v>773</v>
      </c>
      <c r="D326" s="394"/>
      <c r="E326" s="393"/>
      <c r="F326" s="427"/>
      <c r="G326" s="394"/>
      <c r="H326" s="394"/>
      <c r="I326" s="394"/>
      <c r="J326" s="396">
        <f t="shared" ref="J326:O326" si="70">SUBTOTAL(9,J324:J325)</f>
        <v>514576</v>
      </c>
      <c r="K326" s="396">
        <f t="shared" si="70"/>
        <v>0</v>
      </c>
      <c r="L326" s="397">
        <f t="shared" si="70"/>
        <v>6443</v>
      </c>
      <c r="M326" s="398">
        <f t="shared" si="70"/>
        <v>23000</v>
      </c>
      <c r="N326" s="398">
        <f t="shared" si="70"/>
        <v>22100</v>
      </c>
      <c r="O326" s="396">
        <f t="shared" si="70"/>
        <v>20053</v>
      </c>
      <c r="P326" s="399">
        <f t="shared" si="69"/>
        <v>0.90737556561085975</v>
      </c>
      <c r="Q326" s="398">
        <f>SUBTOTAL(9,Q324:Q325)</f>
        <v>7510</v>
      </c>
      <c r="R326" s="400">
        <f>SUBTOTAL(9,R324:R325)</f>
        <v>5000</v>
      </c>
      <c r="S326" s="401">
        <f>SUBTOTAL(9,S324:S325)</f>
        <v>321637</v>
      </c>
      <c r="T326" s="402"/>
      <c r="U326" s="454"/>
      <c r="V326" s="404"/>
      <c r="W326" s="405"/>
      <c r="X326" s="406"/>
      <c r="Y326" s="404" t="str">
        <f>IF($V326=0," ",IF(LEN($B326)=4,$B326*1,$B326))</f>
        <v xml:space="preserve"> </v>
      </c>
      <c r="Z326" s="407">
        <f>IF($Y326=" ",0,"ORG "&amp;$D326&amp;" - "&amp;$G326)</f>
        <v>0</v>
      </c>
      <c r="AA326" s="408" t="str">
        <f>$B326&amp;LEFT($C326,4)&amp;$D326&amp;$E326&amp;$F326</f>
        <v>Celk</v>
      </c>
      <c r="AB326" s="388"/>
      <c r="AC326" s="409"/>
      <c r="AD326" s="388"/>
      <c r="AE326" s="388"/>
      <c r="AF326" s="388"/>
    </row>
    <row r="327" spans="1:32" outlineLevel="2" x14ac:dyDescent="0.2">
      <c r="A327" s="391">
        <f t="shared" si="68"/>
        <v>325</v>
      </c>
      <c r="B327" s="392" t="s">
        <v>420</v>
      </c>
      <c r="C327" s="393" t="s">
        <v>774</v>
      </c>
      <c r="D327" s="394">
        <v>2923</v>
      </c>
      <c r="E327" s="393">
        <v>6351</v>
      </c>
      <c r="F327" s="395"/>
      <c r="G327" s="394" t="s">
        <v>775</v>
      </c>
      <c r="H327" s="394"/>
      <c r="I327" s="394"/>
      <c r="J327" s="396"/>
      <c r="K327" s="396"/>
      <c r="L327" s="397"/>
      <c r="M327" s="398"/>
      <c r="N327" s="398">
        <v>1323</v>
      </c>
      <c r="O327" s="396">
        <v>1323</v>
      </c>
      <c r="P327" s="399">
        <f t="shared" si="69"/>
        <v>1</v>
      </c>
      <c r="Q327" s="398"/>
      <c r="R327" s="400"/>
      <c r="S327" s="401"/>
      <c r="T327" s="402" t="s">
        <v>776</v>
      </c>
      <c r="U327" s="454"/>
      <c r="V327" s="404">
        <f t="shared" si="52"/>
        <v>-1323</v>
      </c>
      <c r="W327" s="405" t="str">
        <f>IF(AND(P327&lt;[3]koment!$F$1,N327&gt;=[3]koment!$F$2),"Komentovat","")</f>
        <v/>
      </c>
      <c r="X327" s="406">
        <f>IF(W327="Komentovat",X325+1,X325)</f>
        <v>29</v>
      </c>
      <c r="Y327" s="404">
        <f t="shared" si="53"/>
        <v>5600</v>
      </c>
      <c r="Z327" s="407" t="str">
        <f t="shared" si="54"/>
        <v>ORG 2923 - Rekonstrukce v objektech NMB</v>
      </c>
      <c r="AA327" s="408" t="str">
        <f t="shared" si="55"/>
        <v>5600352229236351</v>
      </c>
      <c r="AB327" s="388"/>
      <c r="AC327" s="409">
        <f t="shared" si="48"/>
        <v>-1323</v>
      </c>
      <c r="AD327" s="388"/>
      <c r="AE327" s="388"/>
      <c r="AF327" s="388"/>
    </row>
    <row r="328" spans="1:32" outlineLevel="2" x14ac:dyDescent="0.2">
      <c r="A328" s="391">
        <f t="shared" si="68"/>
        <v>326</v>
      </c>
      <c r="B328" s="392" t="s">
        <v>777</v>
      </c>
      <c r="C328" s="393" t="s">
        <v>774</v>
      </c>
      <c r="D328" s="394">
        <v>30049119</v>
      </c>
      <c r="E328" s="393">
        <v>6351</v>
      </c>
      <c r="F328" s="395"/>
      <c r="G328" s="449" t="s">
        <v>778</v>
      </c>
      <c r="H328" s="394"/>
      <c r="I328" s="394"/>
      <c r="J328" s="396"/>
      <c r="K328" s="396"/>
      <c r="L328" s="397">
        <v>6456</v>
      </c>
      <c r="M328" s="398">
        <v>6000</v>
      </c>
      <c r="N328" s="398">
        <v>4677</v>
      </c>
      <c r="O328" s="396">
        <v>4677</v>
      </c>
      <c r="P328" s="399">
        <f t="shared" si="69"/>
        <v>1</v>
      </c>
      <c r="Q328" s="398">
        <v>5700</v>
      </c>
      <c r="R328" s="400"/>
      <c r="S328" s="401"/>
      <c r="T328" s="402" t="s">
        <v>776</v>
      </c>
      <c r="U328" s="454"/>
      <c r="V328" s="404">
        <f t="shared" si="52"/>
        <v>0</v>
      </c>
      <c r="W328" s="405" t="str">
        <f>IF(AND(P328&lt;[3]koment!$F$1,N328&gt;=[3]koment!$F$2),"Komentovat","")</f>
        <v/>
      </c>
      <c r="X328" s="406">
        <f t="shared" si="56"/>
        <v>29</v>
      </c>
      <c r="Y328" s="404" t="str">
        <f t="shared" si="53"/>
        <v xml:space="preserve"> </v>
      </c>
      <c r="Z328" s="407">
        <f t="shared" si="54"/>
        <v>0</v>
      </c>
      <c r="AA328" s="408" t="str">
        <f t="shared" si="55"/>
        <v>71003522300491196351</v>
      </c>
      <c r="AB328" s="388"/>
      <c r="AC328" s="409">
        <f t="shared" si="48"/>
        <v>0</v>
      </c>
      <c r="AD328" s="388"/>
      <c r="AE328" s="388"/>
      <c r="AF328" s="388"/>
    </row>
    <row r="329" spans="1:32" outlineLevel="2" x14ac:dyDescent="0.2">
      <c r="A329" s="391">
        <f t="shared" si="68"/>
        <v>327</v>
      </c>
      <c r="B329" s="392" t="s">
        <v>777</v>
      </c>
      <c r="C329" s="393" t="s">
        <v>774</v>
      </c>
      <c r="D329" s="413">
        <v>30049147</v>
      </c>
      <c r="E329" s="393">
        <v>6351</v>
      </c>
      <c r="F329" s="395"/>
      <c r="G329" s="394" t="s">
        <v>779</v>
      </c>
      <c r="H329" s="394"/>
      <c r="I329" s="394"/>
      <c r="J329" s="396"/>
      <c r="K329" s="396"/>
      <c r="L329" s="420">
        <v>12826</v>
      </c>
      <c r="M329" s="398">
        <v>200</v>
      </c>
      <c r="N329" s="398">
        <v>6000</v>
      </c>
      <c r="O329" s="396">
        <v>5999</v>
      </c>
      <c r="P329" s="399">
        <f t="shared" si="69"/>
        <v>0.99983333333333335</v>
      </c>
      <c r="Q329" s="398">
        <v>10000</v>
      </c>
      <c r="R329" s="400"/>
      <c r="S329" s="401"/>
      <c r="T329" s="402" t="s">
        <v>780</v>
      </c>
      <c r="U329" s="454"/>
      <c r="V329" s="404">
        <f t="shared" si="52"/>
        <v>0</v>
      </c>
      <c r="W329" s="405" t="str">
        <f>IF(AND(P329&lt;[3]koment!$F$1,N329&gt;=[3]koment!$F$2),"Komentovat","")</f>
        <v/>
      </c>
      <c r="X329" s="406">
        <f t="shared" si="56"/>
        <v>29</v>
      </c>
      <c r="Y329" s="404" t="str">
        <f t="shared" si="53"/>
        <v xml:space="preserve"> </v>
      </c>
      <c r="Z329" s="407">
        <f t="shared" si="54"/>
        <v>0</v>
      </c>
      <c r="AA329" s="408" t="str">
        <f t="shared" si="55"/>
        <v>71003522300491476351</v>
      </c>
      <c r="AB329" s="388"/>
      <c r="AC329" s="409">
        <f t="shared" si="48"/>
        <v>0</v>
      </c>
      <c r="AD329" s="388"/>
      <c r="AE329" s="388"/>
      <c r="AF329" s="388"/>
    </row>
    <row r="330" spans="1:32" outlineLevel="1" x14ac:dyDescent="0.2">
      <c r="A330" s="391">
        <f t="shared" si="68"/>
        <v>328</v>
      </c>
      <c r="B330" s="392"/>
      <c r="C330" s="424" t="s">
        <v>781</v>
      </c>
      <c r="D330" s="413"/>
      <c r="E330" s="393"/>
      <c r="F330" s="395"/>
      <c r="G330" s="394"/>
      <c r="H330" s="394"/>
      <c r="I330" s="394"/>
      <c r="J330" s="396">
        <f t="shared" ref="J330:O330" si="71">SUBTOTAL(9,J327:J329)</f>
        <v>0</v>
      </c>
      <c r="K330" s="396">
        <f t="shared" si="71"/>
        <v>0</v>
      </c>
      <c r="L330" s="420">
        <f t="shared" si="71"/>
        <v>19282</v>
      </c>
      <c r="M330" s="398">
        <f t="shared" si="71"/>
        <v>6200</v>
      </c>
      <c r="N330" s="398">
        <f t="shared" si="71"/>
        <v>12000</v>
      </c>
      <c r="O330" s="396">
        <f t="shared" si="71"/>
        <v>11999</v>
      </c>
      <c r="P330" s="399">
        <f t="shared" si="69"/>
        <v>0.99991666666666668</v>
      </c>
      <c r="Q330" s="398">
        <f>SUBTOTAL(9,Q327:Q329)</f>
        <v>15700</v>
      </c>
      <c r="R330" s="400">
        <f>SUBTOTAL(9,R327:R329)</f>
        <v>0</v>
      </c>
      <c r="S330" s="401">
        <f>SUBTOTAL(9,S327:S329)</f>
        <v>0</v>
      </c>
      <c r="T330" s="402"/>
      <c r="U330" s="454"/>
      <c r="V330" s="404"/>
      <c r="W330" s="405"/>
      <c r="X330" s="406"/>
      <c r="Y330" s="404" t="str">
        <f>IF($V330=0," ",IF(LEN($B330)=4,$B330*1,$B330))</f>
        <v xml:space="preserve"> </v>
      </c>
      <c r="Z330" s="407">
        <f>IF($Y330=" ",0,"ORG "&amp;$D330&amp;" - "&amp;$G330)</f>
        <v>0</v>
      </c>
      <c r="AA330" s="408" t="str">
        <f>$B330&amp;LEFT($C330,4)&amp;$D330&amp;$E330&amp;$F330</f>
        <v>Celk</v>
      </c>
      <c r="AB330" s="388"/>
      <c r="AC330" s="409"/>
      <c r="AD330" s="388"/>
      <c r="AE330" s="388"/>
      <c r="AF330" s="388"/>
    </row>
    <row r="331" spans="1:32" outlineLevel="2" x14ac:dyDescent="0.2">
      <c r="A331" s="391">
        <f t="shared" si="68"/>
        <v>329</v>
      </c>
      <c r="B331" s="422" t="s">
        <v>777</v>
      </c>
      <c r="C331" s="393" t="s">
        <v>782</v>
      </c>
      <c r="D331" s="393">
        <v>3078</v>
      </c>
      <c r="E331" s="393">
        <v>6121</v>
      </c>
      <c r="F331" s="402"/>
      <c r="G331" s="394" t="s">
        <v>783</v>
      </c>
      <c r="H331" s="423">
        <v>2009</v>
      </c>
      <c r="I331" s="393">
        <v>2017</v>
      </c>
      <c r="J331" s="420">
        <v>2540</v>
      </c>
      <c r="K331" s="420"/>
      <c r="L331" s="420">
        <v>1311</v>
      </c>
      <c r="M331" s="421">
        <v>589</v>
      </c>
      <c r="N331" s="421">
        <v>0</v>
      </c>
      <c r="O331" s="420"/>
      <c r="P331" s="399" t="str">
        <f t="shared" si="69"/>
        <v xml:space="preserve"> </v>
      </c>
      <c r="Q331" s="421">
        <v>130</v>
      </c>
      <c r="R331" s="400"/>
      <c r="S331" s="401"/>
      <c r="T331" s="402" t="s">
        <v>784</v>
      </c>
      <c r="U331" s="454"/>
      <c r="V331" s="404">
        <f t="shared" si="52"/>
        <v>1099</v>
      </c>
      <c r="W331" s="405" t="str">
        <f>IF(AND(P331&lt;[3]koment!$F$1,N331&gt;=[3]koment!$F$2),"Komentovat","")</f>
        <v/>
      </c>
      <c r="X331" s="406">
        <f>IF(W331="Komentovat",X329+1,X329)</f>
        <v>29</v>
      </c>
      <c r="Y331" s="404">
        <f t="shared" si="53"/>
        <v>7100</v>
      </c>
      <c r="Z331" s="407" t="str">
        <f t="shared" si="54"/>
        <v xml:space="preserve">ORG 3078 - Generel přístupnosti města (odstr.bariér) </v>
      </c>
      <c r="AA331" s="408" t="str">
        <f t="shared" si="55"/>
        <v>7100359930786121</v>
      </c>
      <c r="AB331" s="388"/>
      <c r="AC331" s="409">
        <f t="shared" si="48"/>
        <v>1099</v>
      </c>
      <c r="AD331" s="388"/>
      <c r="AE331" s="388"/>
      <c r="AF331" s="388"/>
    </row>
    <row r="332" spans="1:32" outlineLevel="2" x14ac:dyDescent="0.2">
      <c r="A332" s="391">
        <f t="shared" si="68"/>
        <v>330</v>
      </c>
      <c r="B332" s="392" t="s">
        <v>420</v>
      </c>
      <c r="C332" s="393" t="s">
        <v>782</v>
      </c>
      <c r="D332" s="394">
        <v>5198</v>
      </c>
      <c r="E332" s="393">
        <v>6121</v>
      </c>
      <c r="F332" s="448" t="s">
        <v>490</v>
      </c>
      <c r="G332" s="394" t="s">
        <v>785</v>
      </c>
      <c r="H332" s="394">
        <v>2014</v>
      </c>
      <c r="I332" s="394">
        <v>2016</v>
      </c>
      <c r="J332" s="396">
        <v>7611</v>
      </c>
      <c r="K332" s="396">
        <v>2700</v>
      </c>
      <c r="L332" s="420">
        <v>6318</v>
      </c>
      <c r="M332" s="398"/>
      <c r="N332" s="398">
        <v>15</v>
      </c>
      <c r="O332" s="396">
        <v>10</v>
      </c>
      <c r="P332" s="399">
        <f t="shared" si="69"/>
        <v>0.66666666666666663</v>
      </c>
      <c r="Q332" s="398"/>
      <c r="R332" s="400"/>
      <c r="S332" s="401"/>
      <c r="T332" s="402" t="s">
        <v>423</v>
      </c>
      <c r="U332" s="454"/>
      <c r="V332" s="404">
        <f t="shared" si="52"/>
        <v>1278</v>
      </c>
      <c r="W332" s="405" t="str">
        <f>IF(AND(P332&lt;[3]koment!$F$1,N332&gt;=[3]koment!$F$2),"Komentovat","")</f>
        <v/>
      </c>
      <c r="X332" s="406">
        <f t="shared" si="56"/>
        <v>29</v>
      </c>
      <c r="Y332" s="404">
        <f t="shared" si="53"/>
        <v>5600</v>
      </c>
      <c r="Z332" s="407" t="str">
        <f t="shared" si="54"/>
        <v>ORG 5198 - Zateplení logopedického stacionáře Synkova</v>
      </c>
      <c r="AA332" s="408" t="str">
        <f t="shared" si="55"/>
        <v>5600359951986121EU</v>
      </c>
      <c r="AB332" s="388"/>
      <c r="AC332" s="409">
        <f t="shared" si="48"/>
        <v>1278</v>
      </c>
      <c r="AD332" s="388"/>
      <c r="AE332" s="388"/>
      <c r="AF332" s="388"/>
    </row>
    <row r="333" spans="1:32" outlineLevel="2" x14ac:dyDescent="0.2">
      <c r="A333" s="391">
        <f t="shared" si="68"/>
        <v>331</v>
      </c>
      <c r="B333" s="392" t="s">
        <v>777</v>
      </c>
      <c r="C333" s="393" t="s">
        <v>782</v>
      </c>
      <c r="D333" s="394">
        <v>300499</v>
      </c>
      <c r="E333" s="393">
        <v>6322</v>
      </c>
      <c r="F333" s="395"/>
      <c r="G333" s="394" t="s">
        <v>786</v>
      </c>
      <c r="H333" s="394"/>
      <c r="I333" s="394"/>
      <c r="J333" s="396"/>
      <c r="K333" s="396"/>
      <c r="L333" s="397"/>
      <c r="M333" s="398"/>
      <c r="N333" s="398">
        <v>193</v>
      </c>
      <c r="O333" s="396">
        <v>193</v>
      </c>
      <c r="P333" s="399">
        <f t="shared" si="69"/>
        <v>1</v>
      </c>
      <c r="Q333" s="398"/>
      <c r="R333" s="400"/>
      <c r="S333" s="401"/>
      <c r="T333" s="402" t="s">
        <v>784</v>
      </c>
      <c r="U333" s="454"/>
      <c r="V333" s="404">
        <f t="shared" si="52"/>
        <v>0</v>
      </c>
      <c r="W333" s="405" t="str">
        <f>IF(AND(P333&lt;[3]koment!$F$1,N333&gt;=[3]koment!$F$2),"Komentovat","")</f>
        <v/>
      </c>
      <c r="X333" s="406">
        <f t="shared" si="56"/>
        <v>29</v>
      </c>
      <c r="Y333" s="404" t="str">
        <f t="shared" si="53"/>
        <v xml:space="preserve"> </v>
      </c>
      <c r="Z333" s="407">
        <f t="shared" si="54"/>
        <v>0</v>
      </c>
      <c r="AA333" s="408" t="str">
        <f t="shared" si="55"/>
        <v>710035993004996322</v>
      </c>
      <c r="AB333" s="388"/>
      <c r="AC333" s="409">
        <f t="shared" si="48"/>
        <v>0</v>
      </c>
      <c r="AD333" s="388"/>
      <c r="AE333" s="388"/>
      <c r="AF333" s="388"/>
    </row>
    <row r="334" spans="1:32" outlineLevel="1" x14ac:dyDescent="0.2">
      <c r="A334" s="391">
        <f t="shared" si="68"/>
        <v>332</v>
      </c>
      <c r="B334" s="392"/>
      <c r="C334" s="424" t="s">
        <v>787</v>
      </c>
      <c r="D334" s="394"/>
      <c r="E334" s="393"/>
      <c r="F334" s="395"/>
      <c r="G334" s="394"/>
      <c r="H334" s="394"/>
      <c r="I334" s="394"/>
      <c r="J334" s="396">
        <f t="shared" ref="J334:O334" si="72">SUBTOTAL(9,J331:J333)</f>
        <v>10151</v>
      </c>
      <c r="K334" s="396">
        <f t="shared" si="72"/>
        <v>2700</v>
      </c>
      <c r="L334" s="397">
        <f t="shared" si="72"/>
        <v>7629</v>
      </c>
      <c r="M334" s="398">
        <f t="shared" si="72"/>
        <v>589</v>
      </c>
      <c r="N334" s="398">
        <f t="shared" si="72"/>
        <v>208</v>
      </c>
      <c r="O334" s="396">
        <f t="shared" si="72"/>
        <v>203</v>
      </c>
      <c r="P334" s="399">
        <f t="shared" si="69"/>
        <v>0.97596153846153844</v>
      </c>
      <c r="Q334" s="398">
        <f>SUBTOTAL(9,Q331:Q333)</f>
        <v>130</v>
      </c>
      <c r="R334" s="400">
        <f>SUBTOTAL(9,R331:R333)</f>
        <v>0</v>
      </c>
      <c r="S334" s="401">
        <f>SUBTOTAL(9,S331:S333)</f>
        <v>0</v>
      </c>
      <c r="T334" s="402"/>
      <c r="U334" s="454"/>
      <c r="V334" s="404"/>
      <c r="W334" s="405"/>
      <c r="X334" s="406"/>
      <c r="Y334" s="404" t="str">
        <f>IF($V334=0," ",IF(LEN($B334)=4,$B334*1,$B334))</f>
        <v xml:space="preserve"> </v>
      </c>
      <c r="Z334" s="407">
        <f>IF($Y334=" ",0,"ORG "&amp;$D334&amp;" - "&amp;$G334)</f>
        <v>0</v>
      </c>
      <c r="AA334" s="408" t="str">
        <f>$B334&amp;LEFT($C334,4)&amp;$D334&amp;$E334&amp;$F334</f>
        <v>Celk</v>
      </c>
      <c r="AB334" s="388"/>
      <c r="AC334" s="409"/>
      <c r="AD334" s="388"/>
      <c r="AE334" s="388"/>
      <c r="AF334" s="388"/>
    </row>
    <row r="335" spans="1:32" outlineLevel="2" x14ac:dyDescent="0.2">
      <c r="A335" s="391">
        <f t="shared" si="68"/>
        <v>333</v>
      </c>
      <c r="B335" s="392" t="s">
        <v>162</v>
      </c>
      <c r="C335" s="393" t="s">
        <v>788</v>
      </c>
      <c r="D335" s="394">
        <v>2622</v>
      </c>
      <c r="E335" s="393">
        <v>6121</v>
      </c>
      <c r="F335" s="395">
        <v>41</v>
      </c>
      <c r="G335" s="394" t="s">
        <v>789</v>
      </c>
      <c r="H335" s="394">
        <v>2016</v>
      </c>
      <c r="I335" s="394">
        <v>2017</v>
      </c>
      <c r="J335" s="396">
        <v>10000</v>
      </c>
      <c r="K335" s="396"/>
      <c r="L335" s="397"/>
      <c r="M335" s="398"/>
      <c r="N335" s="398">
        <v>300</v>
      </c>
      <c r="O335" s="396"/>
      <c r="P335" s="399">
        <f t="shared" si="69"/>
        <v>0</v>
      </c>
      <c r="Q335" s="398"/>
      <c r="R335" s="400"/>
      <c r="S335" s="401"/>
      <c r="T335" s="402" t="s">
        <v>790</v>
      </c>
      <c r="U335" s="454"/>
      <c r="V335" s="404">
        <f t="shared" si="52"/>
        <v>9700</v>
      </c>
      <c r="W335" s="405" t="str">
        <f>IF(AND(P335&lt;[3]koment!$F$1,N335&gt;=[3]koment!$F$2),"Komentovat","")</f>
        <v/>
      </c>
      <c r="X335" s="406">
        <f>IF(W335="Komentovat",X333+1,X333)</f>
        <v>29</v>
      </c>
      <c r="Y335" s="404">
        <f t="shared" si="53"/>
        <v>6200</v>
      </c>
      <c r="Z335" s="407" t="str">
        <f t="shared" si="54"/>
        <v>ORG 2622 - Stavební úpravy Kobližná 10 - 3. a 4. NP</v>
      </c>
      <c r="AA335" s="408" t="str">
        <f t="shared" si="55"/>
        <v>620036122622612141</v>
      </c>
      <c r="AB335" s="388"/>
      <c r="AC335" s="409">
        <f t="shared" si="48"/>
        <v>9700</v>
      </c>
      <c r="AD335" s="388"/>
      <c r="AE335" s="388"/>
      <c r="AF335" s="388"/>
    </row>
    <row r="336" spans="1:32" outlineLevel="2" x14ac:dyDescent="0.2">
      <c r="A336" s="391">
        <f t="shared" si="68"/>
        <v>334</v>
      </c>
      <c r="B336" s="392" t="s">
        <v>162</v>
      </c>
      <c r="C336" s="393" t="s">
        <v>788</v>
      </c>
      <c r="D336" s="394">
        <v>2631</v>
      </c>
      <c r="E336" s="393">
        <v>6121</v>
      </c>
      <c r="F336" s="395">
        <v>41</v>
      </c>
      <c r="G336" s="394" t="s">
        <v>791</v>
      </c>
      <c r="H336" s="394">
        <v>2016</v>
      </c>
      <c r="I336" s="394">
        <v>2017</v>
      </c>
      <c r="J336" s="396">
        <v>14000</v>
      </c>
      <c r="K336" s="396"/>
      <c r="L336" s="397"/>
      <c r="M336" s="398"/>
      <c r="N336" s="398">
        <v>700</v>
      </c>
      <c r="O336" s="396">
        <v>584</v>
      </c>
      <c r="P336" s="399">
        <f t="shared" si="69"/>
        <v>0.8342857142857143</v>
      </c>
      <c r="Q336" s="398"/>
      <c r="R336" s="400"/>
      <c r="S336" s="401"/>
      <c r="T336" s="402" t="s">
        <v>790</v>
      </c>
      <c r="U336" s="454"/>
      <c r="V336" s="404">
        <f t="shared" si="52"/>
        <v>13300</v>
      </c>
      <c r="W336" s="405" t="str">
        <f>IF(AND(P336&lt;[3]koment!$F$1,N336&gt;=[3]koment!$F$2),"Komentovat","")</f>
        <v/>
      </c>
      <c r="X336" s="406">
        <f t="shared" si="56"/>
        <v>29</v>
      </c>
      <c r="Y336" s="404">
        <f t="shared" si="53"/>
        <v>6200</v>
      </c>
      <c r="Z336" s="407" t="str">
        <f t="shared" si="54"/>
        <v>ORG 2631 - Stavební úpravy Příční 13</v>
      </c>
      <c r="AA336" s="408" t="str">
        <f t="shared" si="55"/>
        <v>620036122631612141</v>
      </c>
      <c r="AB336" s="388"/>
      <c r="AC336" s="409">
        <f t="shared" si="48"/>
        <v>13300</v>
      </c>
      <c r="AD336" s="388"/>
      <c r="AE336" s="388"/>
      <c r="AF336" s="388"/>
    </row>
    <row r="337" spans="1:32" outlineLevel="2" x14ac:dyDescent="0.2">
      <c r="A337" s="391">
        <f t="shared" si="68"/>
        <v>335</v>
      </c>
      <c r="B337" s="392" t="s">
        <v>162</v>
      </c>
      <c r="C337" s="393" t="s">
        <v>788</v>
      </c>
      <c r="D337" s="394">
        <v>2633</v>
      </c>
      <c r="E337" s="393">
        <v>6121</v>
      </c>
      <c r="F337" s="395">
        <v>41</v>
      </c>
      <c r="G337" s="394" t="s">
        <v>792</v>
      </c>
      <c r="H337" s="394">
        <v>2016</v>
      </c>
      <c r="I337" s="394">
        <v>2019</v>
      </c>
      <c r="J337" s="396">
        <v>25000</v>
      </c>
      <c r="K337" s="396"/>
      <c r="L337" s="397"/>
      <c r="M337" s="398"/>
      <c r="N337" s="398">
        <v>1000</v>
      </c>
      <c r="O337" s="396">
        <v>172</v>
      </c>
      <c r="P337" s="399">
        <f t="shared" si="69"/>
        <v>0.17199999999999999</v>
      </c>
      <c r="Q337" s="398"/>
      <c r="R337" s="400"/>
      <c r="S337" s="401"/>
      <c r="T337" s="402" t="s">
        <v>790</v>
      </c>
      <c r="U337" s="454"/>
      <c r="V337" s="404">
        <f t="shared" si="52"/>
        <v>24000</v>
      </c>
      <c r="W337" s="405" t="str">
        <f>IF(AND(P337&lt;[3]koment!$F$1,N337&gt;=[3]koment!$F$2),"Komentovat","")</f>
        <v>Komentovat</v>
      </c>
      <c r="X337" s="406">
        <f t="shared" si="56"/>
        <v>30</v>
      </c>
      <c r="Y337" s="404">
        <f t="shared" si="53"/>
        <v>6200</v>
      </c>
      <c r="Z337" s="407" t="str">
        <f t="shared" si="54"/>
        <v>ORG 2633 - Bytový dům Dukelská 88</v>
      </c>
      <c r="AA337" s="408" t="str">
        <f t="shared" si="55"/>
        <v>620036122633612141</v>
      </c>
      <c r="AB337" s="388"/>
      <c r="AC337" s="409">
        <f t="shared" si="48"/>
        <v>24000</v>
      </c>
      <c r="AD337" s="388"/>
      <c r="AE337" s="388"/>
      <c r="AF337" s="388"/>
    </row>
    <row r="338" spans="1:32" outlineLevel="2" x14ac:dyDescent="0.2">
      <c r="A338" s="391">
        <f t="shared" si="68"/>
        <v>336</v>
      </c>
      <c r="B338" s="392" t="s">
        <v>162</v>
      </c>
      <c r="C338" s="393" t="s">
        <v>788</v>
      </c>
      <c r="D338" s="394">
        <v>2635</v>
      </c>
      <c r="E338" s="393">
        <v>6121</v>
      </c>
      <c r="F338" s="395">
        <v>41</v>
      </c>
      <c r="G338" s="394" t="s">
        <v>793</v>
      </c>
      <c r="H338" s="394">
        <v>2016</v>
      </c>
      <c r="I338" s="394">
        <v>2018</v>
      </c>
      <c r="J338" s="396">
        <v>25000</v>
      </c>
      <c r="K338" s="396"/>
      <c r="L338" s="397"/>
      <c r="M338" s="398"/>
      <c r="N338" s="398">
        <v>1000</v>
      </c>
      <c r="O338" s="396">
        <v>207</v>
      </c>
      <c r="P338" s="399">
        <f t="shared" si="69"/>
        <v>0.20699999999999999</v>
      </c>
      <c r="Q338" s="398"/>
      <c r="R338" s="400"/>
      <c r="S338" s="401"/>
      <c r="T338" s="402" t="s">
        <v>790</v>
      </c>
      <c r="U338" s="454"/>
      <c r="V338" s="404">
        <f t="shared" si="52"/>
        <v>24000</v>
      </c>
      <c r="W338" s="405" t="str">
        <f>IF(AND(P338&lt;[3]koment!$F$1,N338&gt;=[3]koment!$F$2),"Komentovat","")</f>
        <v>Komentovat</v>
      </c>
      <c r="X338" s="406">
        <f t="shared" si="56"/>
        <v>31</v>
      </c>
      <c r="Y338" s="404">
        <f t="shared" si="53"/>
        <v>6200</v>
      </c>
      <c r="Z338" s="407" t="str">
        <f t="shared" si="54"/>
        <v>ORG 2635 - Rekonstrukce bytového domu Mostecká 12</v>
      </c>
      <c r="AA338" s="408" t="str">
        <f t="shared" si="55"/>
        <v>620036122635612141</v>
      </c>
      <c r="AB338" s="388"/>
      <c r="AC338" s="409">
        <f t="shared" si="48"/>
        <v>24000</v>
      </c>
      <c r="AD338" s="388"/>
      <c r="AE338" s="388"/>
      <c r="AF338" s="388"/>
    </row>
    <row r="339" spans="1:32" outlineLevel="2" x14ac:dyDescent="0.2">
      <c r="A339" s="391">
        <f t="shared" si="68"/>
        <v>337</v>
      </c>
      <c r="B339" s="392" t="s">
        <v>162</v>
      </c>
      <c r="C339" s="393" t="s">
        <v>788</v>
      </c>
      <c r="D339" s="394">
        <v>2642</v>
      </c>
      <c r="E339" s="393">
        <v>6121</v>
      </c>
      <c r="F339" s="395">
        <v>41</v>
      </c>
      <c r="G339" s="394" t="s">
        <v>794</v>
      </c>
      <c r="H339" s="394">
        <v>2016</v>
      </c>
      <c r="I339" s="394">
        <v>2019</v>
      </c>
      <c r="J339" s="396">
        <v>77000</v>
      </c>
      <c r="K339" s="396"/>
      <c r="L339" s="397"/>
      <c r="M339" s="398"/>
      <c r="N339" s="398">
        <v>1000</v>
      </c>
      <c r="O339" s="396">
        <v>414</v>
      </c>
      <c r="P339" s="399">
        <f t="shared" si="69"/>
        <v>0.41399999999999998</v>
      </c>
      <c r="Q339" s="398"/>
      <c r="R339" s="400"/>
      <c r="S339" s="401"/>
      <c r="T339" s="402" t="s">
        <v>790</v>
      </c>
      <c r="U339" s="454"/>
      <c r="V339" s="404">
        <f t="shared" si="52"/>
        <v>76000</v>
      </c>
      <c r="W339" s="405" t="str">
        <f>IF(AND(P339&lt;[3]koment!$F$1,N339&gt;=[3]koment!$F$2),"Komentovat","")</f>
        <v>Komentovat</v>
      </c>
      <c r="X339" s="406">
        <f t="shared" si="56"/>
        <v>32</v>
      </c>
      <c r="Y339" s="404">
        <f t="shared" si="53"/>
        <v>6200</v>
      </c>
      <c r="Z339" s="407" t="str">
        <f t="shared" si="54"/>
        <v>ORG 2642 - Bytový dům pro seniory Cejl</v>
      </c>
      <c r="AA339" s="408" t="str">
        <f t="shared" si="55"/>
        <v>620036122642612141</v>
      </c>
      <c r="AB339" s="388"/>
      <c r="AC339" s="409">
        <f t="shared" si="48"/>
        <v>76000</v>
      </c>
      <c r="AD339" s="388"/>
      <c r="AE339" s="388"/>
      <c r="AF339" s="388"/>
    </row>
    <row r="340" spans="1:32" outlineLevel="2" x14ac:dyDescent="0.2">
      <c r="A340" s="391">
        <f t="shared" si="68"/>
        <v>338</v>
      </c>
      <c r="B340" s="392" t="s">
        <v>162</v>
      </c>
      <c r="C340" s="393" t="s">
        <v>788</v>
      </c>
      <c r="D340" s="394">
        <v>2644</v>
      </c>
      <c r="E340" s="393">
        <v>6121</v>
      </c>
      <c r="F340" s="395">
        <v>41</v>
      </c>
      <c r="G340" s="394" t="s">
        <v>795</v>
      </c>
      <c r="H340" s="394">
        <v>2016</v>
      </c>
      <c r="I340" s="394">
        <v>2018</v>
      </c>
      <c r="J340" s="396">
        <v>26000</v>
      </c>
      <c r="K340" s="396"/>
      <c r="L340" s="397"/>
      <c r="M340" s="398"/>
      <c r="N340" s="398">
        <v>1000</v>
      </c>
      <c r="O340" s="396">
        <v>139</v>
      </c>
      <c r="P340" s="399">
        <f t="shared" si="69"/>
        <v>0.13900000000000001</v>
      </c>
      <c r="Q340" s="398"/>
      <c r="R340" s="400"/>
      <c r="S340" s="401"/>
      <c r="T340" s="402" t="s">
        <v>790</v>
      </c>
      <c r="U340" s="454"/>
      <c r="V340" s="404">
        <f t="shared" si="52"/>
        <v>25000</v>
      </c>
      <c r="W340" s="405" t="str">
        <f>IF(AND(P340&lt;[3]koment!$F$1,N340&gt;=[3]koment!$F$2),"Komentovat","")</f>
        <v>Komentovat</v>
      </c>
      <c r="X340" s="406">
        <f t="shared" si="56"/>
        <v>33</v>
      </c>
      <c r="Y340" s="404">
        <f t="shared" si="53"/>
        <v>6200</v>
      </c>
      <c r="Z340" s="407" t="str">
        <f t="shared" si="54"/>
        <v>ORG 2644 - Bytový dům Valchařská 14</v>
      </c>
      <c r="AA340" s="408" t="str">
        <f t="shared" si="55"/>
        <v>620036122644612141</v>
      </c>
      <c r="AB340" s="388"/>
      <c r="AC340" s="409">
        <f t="shared" si="48"/>
        <v>25000</v>
      </c>
      <c r="AD340" s="388"/>
      <c r="AE340" s="388"/>
      <c r="AF340" s="388"/>
    </row>
    <row r="341" spans="1:32" outlineLevel="2" x14ac:dyDescent="0.2">
      <c r="A341" s="391">
        <f t="shared" si="68"/>
        <v>339</v>
      </c>
      <c r="B341" s="392">
        <v>6200</v>
      </c>
      <c r="C341" s="393" t="s">
        <v>788</v>
      </c>
      <c r="D341" s="394">
        <v>2646</v>
      </c>
      <c r="E341" s="393">
        <v>6121</v>
      </c>
      <c r="F341" s="395">
        <v>41</v>
      </c>
      <c r="G341" s="394" t="s">
        <v>796</v>
      </c>
      <c r="H341" s="394">
        <v>2016</v>
      </c>
      <c r="I341" s="394">
        <v>2018</v>
      </c>
      <c r="J341" s="396">
        <v>50000</v>
      </c>
      <c r="K341" s="396"/>
      <c r="L341" s="397"/>
      <c r="M341" s="398"/>
      <c r="N341" s="398">
        <v>4000</v>
      </c>
      <c r="O341" s="396">
        <v>633</v>
      </c>
      <c r="P341" s="399">
        <f t="shared" si="69"/>
        <v>0.15825</v>
      </c>
      <c r="Q341" s="398">
        <v>30000</v>
      </c>
      <c r="R341" s="400">
        <v>16000</v>
      </c>
      <c r="S341" s="401"/>
      <c r="T341" s="402" t="s">
        <v>790</v>
      </c>
      <c r="U341" s="454"/>
      <c r="V341" s="404">
        <f t="shared" si="52"/>
        <v>0</v>
      </c>
      <c r="W341" s="405" t="str">
        <f>IF(AND(P341&lt;[3]koment!$F$1,N341&gt;=[3]koment!$F$2),"Komentovat","")</f>
        <v>Komentovat</v>
      </c>
      <c r="X341" s="406">
        <f t="shared" si="56"/>
        <v>34</v>
      </c>
      <c r="Y341" s="404" t="str">
        <f t="shared" si="53"/>
        <v xml:space="preserve"> </v>
      </c>
      <c r="Z341" s="407">
        <f t="shared" si="54"/>
        <v>0</v>
      </c>
      <c r="AA341" s="408" t="str">
        <f t="shared" si="55"/>
        <v>620036122646612141</v>
      </c>
      <c r="AB341" s="388"/>
      <c r="AC341" s="409">
        <f t="shared" si="48"/>
        <v>0</v>
      </c>
      <c r="AD341" s="388"/>
      <c r="AE341" s="388"/>
      <c r="AF341" s="388"/>
    </row>
    <row r="342" spans="1:32" outlineLevel="2" x14ac:dyDescent="0.2">
      <c r="A342" s="391">
        <f t="shared" si="68"/>
        <v>340</v>
      </c>
      <c r="B342" s="392" t="s">
        <v>162</v>
      </c>
      <c r="C342" s="393" t="s">
        <v>788</v>
      </c>
      <c r="D342" s="394">
        <v>2659</v>
      </c>
      <c r="E342" s="393">
        <v>6121</v>
      </c>
      <c r="F342" s="395">
        <v>41</v>
      </c>
      <c r="G342" s="394" t="s">
        <v>797</v>
      </c>
      <c r="H342" s="394">
        <v>2016</v>
      </c>
      <c r="I342" s="394">
        <v>2018</v>
      </c>
      <c r="J342" s="396">
        <v>10000</v>
      </c>
      <c r="K342" s="396"/>
      <c r="L342" s="397"/>
      <c r="M342" s="398"/>
      <c r="N342" s="398">
        <v>1000</v>
      </c>
      <c r="O342" s="396">
        <v>322</v>
      </c>
      <c r="P342" s="399">
        <f t="shared" si="69"/>
        <v>0.32200000000000001</v>
      </c>
      <c r="Q342" s="398">
        <v>4000</v>
      </c>
      <c r="R342" s="400"/>
      <c r="S342" s="401"/>
      <c r="T342" s="402" t="s">
        <v>790</v>
      </c>
      <c r="U342" s="454"/>
      <c r="V342" s="404">
        <f t="shared" si="52"/>
        <v>5000</v>
      </c>
      <c r="W342" s="405" t="str">
        <f>IF(AND(P342&lt;[3]koment!$F$1,N342&gt;=[3]koment!$F$2),"Komentovat","")</f>
        <v>Komentovat</v>
      </c>
      <c r="X342" s="406">
        <f t="shared" ref="X342:X405" si="73">IF(W342="Komentovat",X341+1,X341)</f>
        <v>35</v>
      </c>
      <c r="Y342" s="404">
        <f t="shared" si="53"/>
        <v>6200</v>
      </c>
      <c r="Z342" s="407" t="str">
        <f t="shared" si="54"/>
        <v>ORG 2659 - Rekonstrukce bytových domů - příprava</v>
      </c>
      <c r="AA342" s="408" t="str">
        <f t="shared" si="55"/>
        <v>620036122659612141</v>
      </c>
      <c r="AB342" s="388"/>
      <c r="AC342" s="409">
        <f t="shared" si="48"/>
        <v>5000</v>
      </c>
      <c r="AD342" s="388"/>
      <c r="AE342" s="388"/>
      <c r="AF342" s="388"/>
    </row>
    <row r="343" spans="1:32" outlineLevel="2" x14ac:dyDescent="0.2">
      <c r="A343" s="391">
        <f t="shared" si="68"/>
        <v>341</v>
      </c>
      <c r="B343" s="422" t="s">
        <v>162</v>
      </c>
      <c r="C343" s="393" t="s">
        <v>788</v>
      </c>
      <c r="D343" s="394">
        <v>2797</v>
      </c>
      <c r="E343" s="393">
        <v>6121</v>
      </c>
      <c r="F343" s="395">
        <v>41</v>
      </c>
      <c r="G343" s="394" t="s">
        <v>798</v>
      </c>
      <c r="H343" s="394">
        <v>2014</v>
      </c>
      <c r="I343" s="394">
        <v>2016</v>
      </c>
      <c r="J343" s="396">
        <v>8000</v>
      </c>
      <c r="K343" s="396"/>
      <c r="L343" s="420">
        <v>192</v>
      </c>
      <c r="M343" s="398">
        <v>6676</v>
      </c>
      <c r="N343" s="398">
        <v>7807</v>
      </c>
      <c r="O343" s="396">
        <v>6792</v>
      </c>
      <c r="P343" s="399">
        <f t="shared" si="69"/>
        <v>0.86998847188420647</v>
      </c>
      <c r="Q343" s="398"/>
      <c r="R343" s="400"/>
      <c r="S343" s="401"/>
      <c r="T343" s="402" t="s">
        <v>790</v>
      </c>
      <c r="U343" s="454"/>
      <c r="V343" s="404">
        <f t="shared" si="52"/>
        <v>1</v>
      </c>
      <c r="W343" s="405" t="str">
        <f>IF(AND(P343&lt;[3]koment!$F$1,N343&gt;=[3]koment!$F$2),"Komentovat","")</f>
        <v/>
      </c>
      <c r="X343" s="406">
        <f t="shared" si="73"/>
        <v>35</v>
      </c>
      <c r="Y343" s="404">
        <f t="shared" si="53"/>
        <v>6200</v>
      </c>
      <c r="Z343" s="407" t="str">
        <f t="shared" si="54"/>
        <v>ORG 2797 - Zámečnická 2 - sdílené bydlení</v>
      </c>
      <c r="AA343" s="408" t="str">
        <f t="shared" si="55"/>
        <v>620036122797612141</v>
      </c>
      <c r="AB343" s="388"/>
      <c r="AC343" s="409">
        <f t="shared" si="48"/>
        <v>1</v>
      </c>
      <c r="AD343" s="388"/>
      <c r="AE343" s="388"/>
      <c r="AF343" s="388"/>
    </row>
    <row r="344" spans="1:32" outlineLevel="2" x14ac:dyDescent="0.2">
      <c r="A344" s="391">
        <f t="shared" si="68"/>
        <v>342</v>
      </c>
      <c r="B344" s="422" t="s">
        <v>420</v>
      </c>
      <c r="C344" s="393" t="s">
        <v>788</v>
      </c>
      <c r="D344" s="393">
        <v>2852</v>
      </c>
      <c r="E344" s="393">
        <v>6121</v>
      </c>
      <c r="F344" s="402">
        <v>41</v>
      </c>
      <c r="G344" s="394" t="s">
        <v>799</v>
      </c>
      <c r="H344" s="393">
        <v>2013</v>
      </c>
      <c r="I344" s="393">
        <v>2016</v>
      </c>
      <c r="J344" s="420">
        <v>23279</v>
      </c>
      <c r="K344" s="420"/>
      <c r="L344" s="420">
        <v>358</v>
      </c>
      <c r="M344" s="421">
        <v>14110</v>
      </c>
      <c r="N344" s="421">
        <v>8830</v>
      </c>
      <c r="O344" s="420">
        <v>8808</v>
      </c>
      <c r="P344" s="399">
        <f t="shared" si="69"/>
        <v>0.99750849377123441</v>
      </c>
      <c r="Q344" s="421"/>
      <c r="R344" s="400"/>
      <c r="S344" s="401"/>
      <c r="T344" s="402" t="s">
        <v>423</v>
      </c>
      <c r="U344" s="454"/>
      <c r="V344" s="404">
        <f t="shared" si="52"/>
        <v>14091</v>
      </c>
      <c r="W344" s="405" t="str">
        <f>IF(AND(P344&lt;[3]koment!$F$1,N344&gt;=[3]koment!$F$2),"Komentovat","")</f>
        <v/>
      </c>
      <c r="X344" s="406">
        <f t="shared" si="73"/>
        <v>35</v>
      </c>
      <c r="Y344" s="404">
        <f t="shared" si="53"/>
        <v>5600</v>
      </c>
      <c r="Z344" s="407" t="str">
        <f t="shared" si="54"/>
        <v>ORG 2852 - Protihluková opatření - výměna oken</v>
      </c>
      <c r="AA344" s="408" t="str">
        <f t="shared" si="55"/>
        <v>560036122852612141</v>
      </c>
      <c r="AB344" s="388"/>
      <c r="AC344" s="409">
        <f t="shared" ref="AC344:AC420" si="74">IF(LEN(D344)=4,(J344-L344-N344-Q344-R344-S344),0)</f>
        <v>14091</v>
      </c>
      <c r="AD344" s="388"/>
      <c r="AE344" s="388"/>
      <c r="AF344" s="388"/>
    </row>
    <row r="345" spans="1:32" outlineLevel="2" x14ac:dyDescent="0.2">
      <c r="A345" s="391">
        <f t="shared" si="68"/>
        <v>343</v>
      </c>
      <c r="B345" s="422">
        <v>6600</v>
      </c>
      <c r="C345" s="393" t="s">
        <v>788</v>
      </c>
      <c r="D345" s="393">
        <v>2925</v>
      </c>
      <c r="E345" s="393">
        <v>6121</v>
      </c>
      <c r="F345" s="402">
        <v>41</v>
      </c>
      <c r="G345" s="394" t="s">
        <v>800</v>
      </c>
      <c r="H345" s="393">
        <v>2012</v>
      </c>
      <c r="I345" s="393">
        <v>2017</v>
      </c>
      <c r="J345" s="420">
        <v>15000</v>
      </c>
      <c r="K345" s="420"/>
      <c r="L345" s="420">
        <v>1860</v>
      </c>
      <c r="M345" s="421">
        <v>2000</v>
      </c>
      <c r="N345" s="421">
        <v>1500</v>
      </c>
      <c r="O345" s="420">
        <v>396</v>
      </c>
      <c r="P345" s="399">
        <f t="shared" si="69"/>
        <v>0.26400000000000001</v>
      </c>
      <c r="Q345" s="421">
        <v>2000</v>
      </c>
      <c r="R345" s="400"/>
      <c r="S345" s="401">
        <v>9640</v>
      </c>
      <c r="T345" s="450" t="s">
        <v>678</v>
      </c>
      <c r="U345" s="454"/>
      <c r="V345" s="404">
        <f t="shared" si="52"/>
        <v>0</v>
      </c>
      <c r="W345" s="405" t="str">
        <f>IF(AND(P345&lt;[3]koment!$F$1,N345&gt;=[3]koment!$F$2),"Komentovat","")</f>
        <v>Komentovat</v>
      </c>
      <c r="X345" s="406">
        <f t="shared" si="73"/>
        <v>36</v>
      </c>
      <c r="Y345" s="404" t="str">
        <f t="shared" si="53"/>
        <v xml:space="preserve"> </v>
      </c>
      <c r="Z345" s="407">
        <f t="shared" si="54"/>
        <v>0</v>
      </c>
      <c r="AA345" s="408" t="str">
        <f t="shared" si="55"/>
        <v>660036122925612141</v>
      </c>
      <c r="AB345" s="388"/>
      <c r="AC345" s="409">
        <f t="shared" si="74"/>
        <v>0</v>
      </c>
      <c r="AD345" s="388"/>
      <c r="AE345" s="388"/>
      <c r="AF345" s="388"/>
    </row>
    <row r="346" spans="1:32" outlineLevel="2" x14ac:dyDescent="0.2">
      <c r="A346" s="391">
        <f t="shared" si="68"/>
        <v>344</v>
      </c>
      <c r="B346" s="422" t="s">
        <v>162</v>
      </c>
      <c r="C346" s="393" t="s">
        <v>788</v>
      </c>
      <c r="D346" s="393">
        <v>2932</v>
      </c>
      <c r="E346" s="393">
        <v>6121</v>
      </c>
      <c r="F346" s="402">
        <v>41</v>
      </c>
      <c r="G346" s="394" t="s">
        <v>801</v>
      </c>
      <c r="H346" s="393">
        <v>2012</v>
      </c>
      <c r="I346" s="393">
        <v>2019</v>
      </c>
      <c r="J346" s="420">
        <v>365000</v>
      </c>
      <c r="K346" s="420"/>
      <c r="L346" s="420">
        <v>5161</v>
      </c>
      <c r="M346" s="421">
        <v>80000</v>
      </c>
      <c r="N346" s="421">
        <v>2000</v>
      </c>
      <c r="O346" s="420">
        <v>1786</v>
      </c>
      <c r="P346" s="399">
        <f t="shared" si="69"/>
        <v>0.89300000000000002</v>
      </c>
      <c r="Q346" s="421">
        <v>80000</v>
      </c>
      <c r="R346" s="400">
        <v>150000</v>
      </c>
      <c r="S346" s="401">
        <v>127839</v>
      </c>
      <c r="T346" s="450" t="s">
        <v>790</v>
      </c>
      <c r="U346" s="454"/>
      <c r="V346" s="404">
        <f t="shared" si="52"/>
        <v>0</v>
      </c>
      <c r="W346" s="405" t="str">
        <f>IF(AND(P346&lt;[3]koment!$F$1,N346&gt;=[3]koment!$F$2),"Komentovat","")</f>
        <v/>
      </c>
      <c r="X346" s="406">
        <f t="shared" si="73"/>
        <v>36</v>
      </c>
      <c r="Y346" s="404" t="str">
        <f t="shared" si="53"/>
        <v xml:space="preserve"> </v>
      </c>
      <c r="Z346" s="407">
        <f t="shared" si="54"/>
        <v>0</v>
      </c>
      <c r="AA346" s="408" t="str">
        <f t="shared" si="55"/>
        <v>620036122932612141</v>
      </c>
      <c r="AB346" s="388"/>
      <c r="AC346" s="409">
        <f t="shared" si="74"/>
        <v>0</v>
      </c>
      <c r="AD346" s="388"/>
      <c r="AE346" s="388"/>
      <c r="AF346" s="388"/>
    </row>
    <row r="347" spans="1:32" outlineLevel="2" x14ac:dyDescent="0.2">
      <c r="A347" s="391">
        <f t="shared" si="68"/>
        <v>345</v>
      </c>
      <c r="B347" s="422" t="s">
        <v>187</v>
      </c>
      <c r="C347" s="393" t="s">
        <v>788</v>
      </c>
      <c r="D347" s="393">
        <v>3036</v>
      </c>
      <c r="E347" s="393">
        <v>6121</v>
      </c>
      <c r="F347" s="402">
        <v>41</v>
      </c>
      <c r="G347" s="458" t="s">
        <v>802</v>
      </c>
      <c r="H347" s="423">
        <v>2010</v>
      </c>
      <c r="I347" s="393">
        <v>2017</v>
      </c>
      <c r="J347" s="420">
        <v>56218</v>
      </c>
      <c r="K347" s="420"/>
      <c r="L347" s="420">
        <v>47818</v>
      </c>
      <c r="M347" s="421">
        <v>5200</v>
      </c>
      <c r="N347" s="421">
        <v>2200</v>
      </c>
      <c r="O347" s="420">
        <v>1760</v>
      </c>
      <c r="P347" s="399">
        <f t="shared" si="69"/>
        <v>0.8</v>
      </c>
      <c r="Q347" s="421">
        <v>6200</v>
      </c>
      <c r="R347" s="400"/>
      <c r="S347" s="401"/>
      <c r="T347" s="402" t="s">
        <v>678</v>
      </c>
      <c r="U347" s="454"/>
      <c r="V347" s="404">
        <f t="shared" si="52"/>
        <v>0</v>
      </c>
      <c r="W347" s="405" t="str">
        <f>IF(AND(P347&lt;[3]koment!$F$1,N347&gt;=[3]koment!$F$2),"Komentovat","")</f>
        <v/>
      </c>
      <c r="X347" s="406">
        <f t="shared" si="73"/>
        <v>36</v>
      </c>
      <c r="Y347" s="404" t="str">
        <f t="shared" si="53"/>
        <v xml:space="preserve"> </v>
      </c>
      <c r="Z347" s="407">
        <f t="shared" si="54"/>
        <v>0</v>
      </c>
      <c r="AA347" s="408" t="str">
        <f t="shared" si="55"/>
        <v>660036123036612141</v>
      </c>
      <c r="AB347" s="388"/>
      <c r="AC347" s="409">
        <f t="shared" si="74"/>
        <v>0</v>
      </c>
      <c r="AD347" s="388"/>
      <c r="AE347" s="388"/>
      <c r="AF347" s="388"/>
    </row>
    <row r="348" spans="1:32" outlineLevel="2" x14ac:dyDescent="0.2">
      <c r="A348" s="391">
        <f t="shared" si="68"/>
        <v>346</v>
      </c>
      <c r="B348" s="422" t="s">
        <v>162</v>
      </c>
      <c r="C348" s="393" t="s">
        <v>788</v>
      </c>
      <c r="D348" s="393">
        <v>3129</v>
      </c>
      <c r="E348" s="393">
        <v>6121</v>
      </c>
      <c r="F348" s="402">
        <v>41</v>
      </c>
      <c r="G348" s="394" t="s">
        <v>803</v>
      </c>
      <c r="H348" s="423">
        <v>2008</v>
      </c>
      <c r="I348" s="393">
        <v>2020</v>
      </c>
      <c r="J348" s="420">
        <v>81200</v>
      </c>
      <c r="K348" s="420"/>
      <c r="L348" s="420">
        <v>0</v>
      </c>
      <c r="M348" s="421">
        <v>700</v>
      </c>
      <c r="N348" s="421">
        <v>700</v>
      </c>
      <c r="O348" s="420"/>
      <c r="P348" s="399">
        <f t="shared" si="69"/>
        <v>0</v>
      </c>
      <c r="Q348" s="421">
        <v>700</v>
      </c>
      <c r="R348" s="400">
        <v>40000</v>
      </c>
      <c r="S348" s="401">
        <v>39800</v>
      </c>
      <c r="T348" s="402" t="s">
        <v>790</v>
      </c>
      <c r="U348" s="454"/>
      <c r="V348" s="404">
        <f t="shared" si="52"/>
        <v>0</v>
      </c>
      <c r="W348" s="405" t="str">
        <f>IF(AND(P348&lt;[3]koment!$F$1,N348&gt;=[3]koment!$F$2),"Komentovat","")</f>
        <v/>
      </c>
      <c r="X348" s="406">
        <f t="shared" si="73"/>
        <v>36</v>
      </c>
      <c r="Y348" s="404" t="str">
        <f t="shared" si="53"/>
        <v xml:space="preserve"> </v>
      </c>
      <c r="Z348" s="407">
        <f t="shared" si="54"/>
        <v>0</v>
      </c>
      <c r="AA348" s="408" t="str">
        <f t="shared" si="55"/>
        <v>620036123129612141</v>
      </c>
      <c r="AB348" s="388"/>
      <c r="AC348" s="409">
        <f t="shared" si="74"/>
        <v>0</v>
      </c>
      <c r="AD348" s="388"/>
      <c r="AE348" s="388"/>
      <c r="AF348" s="388"/>
    </row>
    <row r="349" spans="1:32" outlineLevel="2" x14ac:dyDescent="0.2">
      <c r="A349" s="391">
        <f t="shared" si="68"/>
        <v>347</v>
      </c>
      <c r="B349" s="422" t="s">
        <v>162</v>
      </c>
      <c r="C349" s="393" t="s">
        <v>788</v>
      </c>
      <c r="D349" s="393">
        <v>3196</v>
      </c>
      <c r="E349" s="393">
        <v>6121</v>
      </c>
      <c r="F349" s="402">
        <v>41</v>
      </c>
      <c r="G349" s="394" t="s">
        <v>804</v>
      </c>
      <c r="H349" s="423">
        <v>2006</v>
      </c>
      <c r="I349" s="393">
        <v>2020</v>
      </c>
      <c r="J349" s="420">
        <v>37000</v>
      </c>
      <c r="K349" s="420"/>
      <c r="L349" s="420">
        <v>1728</v>
      </c>
      <c r="M349" s="421">
        <v>18000</v>
      </c>
      <c r="N349" s="421">
        <v>1000</v>
      </c>
      <c r="O349" s="420">
        <v>0</v>
      </c>
      <c r="P349" s="399">
        <f t="shared" si="69"/>
        <v>0</v>
      </c>
      <c r="Q349" s="421">
        <v>5000</v>
      </c>
      <c r="R349" s="400">
        <v>12000</v>
      </c>
      <c r="S349" s="401">
        <v>17272</v>
      </c>
      <c r="T349" s="402" t="s">
        <v>790</v>
      </c>
      <c r="U349" s="454"/>
      <c r="V349" s="404">
        <f t="shared" si="52"/>
        <v>0</v>
      </c>
      <c r="W349" s="405" t="str">
        <f>IF(AND(P349&lt;[3]koment!$F$1,N349&gt;=[3]koment!$F$2),"Komentovat","")</f>
        <v>Komentovat</v>
      </c>
      <c r="X349" s="406">
        <f t="shared" si="73"/>
        <v>37</v>
      </c>
      <c r="Y349" s="404" t="str">
        <f t="shared" si="53"/>
        <v xml:space="preserve"> </v>
      </c>
      <c r="Z349" s="407">
        <f t="shared" si="54"/>
        <v>0</v>
      </c>
      <c r="AA349" s="408" t="str">
        <f t="shared" si="55"/>
        <v>620036123196612141</v>
      </c>
      <c r="AB349" s="388"/>
      <c r="AC349" s="409">
        <f t="shared" si="74"/>
        <v>0</v>
      </c>
      <c r="AD349" s="388"/>
      <c r="AE349" s="388"/>
      <c r="AF349" s="388"/>
    </row>
    <row r="350" spans="1:32" outlineLevel="2" x14ac:dyDescent="0.2">
      <c r="A350" s="391">
        <f t="shared" si="68"/>
        <v>348</v>
      </c>
      <c r="B350" s="392" t="s">
        <v>162</v>
      </c>
      <c r="C350" s="393" t="s">
        <v>788</v>
      </c>
      <c r="D350" s="394">
        <v>4925</v>
      </c>
      <c r="E350" s="393">
        <v>6130</v>
      </c>
      <c r="F350" s="395">
        <v>41</v>
      </c>
      <c r="G350" s="394" t="s">
        <v>805</v>
      </c>
      <c r="H350" s="394"/>
      <c r="I350" s="394"/>
      <c r="J350" s="396"/>
      <c r="K350" s="396"/>
      <c r="L350" s="397"/>
      <c r="M350" s="398"/>
      <c r="N350" s="398">
        <v>893</v>
      </c>
      <c r="O350" s="396">
        <v>893</v>
      </c>
      <c r="P350" s="399">
        <f t="shared" si="69"/>
        <v>1</v>
      </c>
      <c r="Q350" s="398">
        <v>50000</v>
      </c>
      <c r="R350" s="400"/>
      <c r="S350" s="401"/>
      <c r="T350" s="402" t="s">
        <v>790</v>
      </c>
      <c r="U350" s="454"/>
      <c r="V350" s="404">
        <f t="shared" si="52"/>
        <v>-50893</v>
      </c>
      <c r="W350" s="405" t="str">
        <f>IF(AND(P350&lt;[3]koment!$F$1,N350&gt;=[3]koment!$F$2),"Komentovat","")</f>
        <v/>
      </c>
      <c r="X350" s="406">
        <f t="shared" si="73"/>
        <v>37</v>
      </c>
      <c r="Y350" s="404">
        <f t="shared" si="53"/>
        <v>6200</v>
      </c>
      <c r="Z350" s="407" t="str">
        <f t="shared" si="54"/>
        <v>ORG 4925 - Výdaje z Fondu bytové výstavby</v>
      </c>
      <c r="AA350" s="408" t="str">
        <f t="shared" si="55"/>
        <v>620036124925613041</v>
      </c>
      <c r="AB350" s="388"/>
      <c r="AC350" s="409">
        <f t="shared" si="74"/>
        <v>-50893</v>
      </c>
      <c r="AD350" s="388"/>
      <c r="AE350" s="388"/>
      <c r="AF350" s="388"/>
    </row>
    <row r="351" spans="1:32" outlineLevel="1" x14ac:dyDescent="0.2">
      <c r="A351" s="391">
        <f t="shared" si="68"/>
        <v>349</v>
      </c>
      <c r="B351" s="392"/>
      <c r="C351" s="424" t="s">
        <v>806</v>
      </c>
      <c r="D351" s="394"/>
      <c r="E351" s="393"/>
      <c r="F351" s="395"/>
      <c r="G351" s="394"/>
      <c r="H351" s="394"/>
      <c r="I351" s="394"/>
      <c r="J351" s="396">
        <f t="shared" ref="J351:O351" si="75">SUBTOTAL(9,J335:J350)</f>
        <v>822697</v>
      </c>
      <c r="K351" s="396">
        <f t="shared" si="75"/>
        <v>0</v>
      </c>
      <c r="L351" s="397">
        <f t="shared" si="75"/>
        <v>57117</v>
      </c>
      <c r="M351" s="398">
        <f t="shared" si="75"/>
        <v>126686</v>
      </c>
      <c r="N351" s="398">
        <f t="shared" si="75"/>
        <v>34930</v>
      </c>
      <c r="O351" s="396">
        <f t="shared" si="75"/>
        <v>22906</v>
      </c>
      <c r="P351" s="399">
        <f t="shared" si="69"/>
        <v>0.65576868021757806</v>
      </c>
      <c r="Q351" s="398">
        <f>SUBTOTAL(9,Q335:Q350)</f>
        <v>177900</v>
      </c>
      <c r="R351" s="400">
        <f>SUBTOTAL(9,R335:R350)</f>
        <v>218000</v>
      </c>
      <c r="S351" s="401">
        <f>SUBTOTAL(9,S335:S350)</f>
        <v>194551</v>
      </c>
      <c r="T351" s="402"/>
      <c r="U351" s="454"/>
      <c r="V351" s="404"/>
      <c r="W351" s="405"/>
      <c r="X351" s="406"/>
      <c r="Y351" s="404" t="str">
        <f>IF($V351=0," ",IF(LEN($B351)=4,$B351*1,$B351))</f>
        <v xml:space="preserve"> </v>
      </c>
      <c r="Z351" s="407">
        <f>IF($Y351=" ",0,"ORG "&amp;$D351&amp;" - "&amp;$G351)</f>
        <v>0</v>
      </c>
      <c r="AA351" s="408" t="str">
        <f>$B351&amp;LEFT($C351,4)&amp;$D351&amp;$E351&amp;$F351</f>
        <v>Celk</v>
      </c>
      <c r="AB351" s="388"/>
      <c r="AC351" s="409"/>
      <c r="AD351" s="388"/>
      <c r="AE351" s="388"/>
      <c r="AF351" s="388"/>
    </row>
    <row r="352" spans="1:32" outlineLevel="2" x14ac:dyDescent="0.2">
      <c r="A352" s="391">
        <f t="shared" si="68"/>
        <v>350</v>
      </c>
      <c r="B352" s="392" t="s">
        <v>162</v>
      </c>
      <c r="C352" s="393" t="s">
        <v>807</v>
      </c>
      <c r="D352" s="394">
        <v>3496</v>
      </c>
      <c r="E352" s="393">
        <v>6460</v>
      </c>
      <c r="F352" s="395">
        <v>40</v>
      </c>
      <c r="G352" s="426" t="s">
        <v>808</v>
      </c>
      <c r="H352" s="394"/>
      <c r="I352" s="394"/>
      <c r="J352" s="396"/>
      <c r="K352" s="396"/>
      <c r="L352" s="397"/>
      <c r="M352" s="398"/>
      <c r="N352" s="398">
        <v>20715</v>
      </c>
      <c r="O352" s="396">
        <v>8879</v>
      </c>
      <c r="P352" s="399">
        <f t="shared" si="69"/>
        <v>0.42862659908279027</v>
      </c>
      <c r="Q352" s="398"/>
      <c r="R352" s="400"/>
      <c r="S352" s="401"/>
      <c r="T352" s="402" t="s">
        <v>809</v>
      </c>
      <c r="U352" s="454"/>
      <c r="V352" s="404">
        <f t="shared" si="52"/>
        <v>-20715</v>
      </c>
      <c r="W352" s="405" t="str">
        <f>IF(AND(P352&lt;[3]koment!$F$1,N352&gt;=[3]koment!$F$2),"Komentovat","")</f>
        <v>Komentovat</v>
      </c>
      <c r="X352" s="406">
        <f>IF(W352="Komentovat",X350+1,X350)</f>
        <v>38</v>
      </c>
      <c r="Y352" s="404">
        <f t="shared" si="53"/>
        <v>6200</v>
      </c>
      <c r="Z352" s="407" t="str">
        <f t="shared" si="54"/>
        <v>ORG 3496 - Investiční zápůjčky z FRB</v>
      </c>
      <c r="AA352" s="408" t="str">
        <f t="shared" si="55"/>
        <v>620036193496646040</v>
      </c>
      <c r="AB352" s="388"/>
      <c r="AC352" s="409">
        <f t="shared" si="74"/>
        <v>-20715</v>
      </c>
      <c r="AD352" s="388"/>
      <c r="AE352" s="388"/>
      <c r="AF352" s="388"/>
    </row>
    <row r="353" spans="1:32" outlineLevel="1" x14ac:dyDescent="0.2">
      <c r="A353" s="391">
        <f t="shared" si="68"/>
        <v>351</v>
      </c>
      <c r="B353" s="392"/>
      <c r="C353" s="424" t="s">
        <v>810</v>
      </c>
      <c r="D353" s="394"/>
      <c r="E353" s="393"/>
      <c r="F353" s="395"/>
      <c r="G353" s="426"/>
      <c r="H353" s="394"/>
      <c r="I353" s="394"/>
      <c r="J353" s="396">
        <f t="shared" ref="J353:O353" si="76">SUBTOTAL(9,J352:J352)</f>
        <v>0</v>
      </c>
      <c r="K353" s="396">
        <f t="shared" si="76"/>
        <v>0</v>
      </c>
      <c r="L353" s="397">
        <f t="shared" si="76"/>
        <v>0</v>
      </c>
      <c r="M353" s="398">
        <f t="shared" si="76"/>
        <v>0</v>
      </c>
      <c r="N353" s="398">
        <f t="shared" si="76"/>
        <v>20715</v>
      </c>
      <c r="O353" s="396">
        <f t="shared" si="76"/>
        <v>8879</v>
      </c>
      <c r="P353" s="399">
        <f t="shared" si="69"/>
        <v>0.42862659908279027</v>
      </c>
      <c r="Q353" s="398">
        <f>SUBTOTAL(9,Q352:Q352)</f>
        <v>0</v>
      </c>
      <c r="R353" s="400">
        <f>SUBTOTAL(9,R352:R352)</f>
        <v>0</v>
      </c>
      <c r="S353" s="401">
        <f>SUBTOTAL(9,S352:S352)</f>
        <v>0</v>
      </c>
      <c r="T353" s="402"/>
      <c r="U353" s="454"/>
      <c r="V353" s="404"/>
      <c r="W353" s="405"/>
      <c r="X353" s="406"/>
      <c r="Y353" s="404" t="str">
        <f>IF($V353=0," ",IF(LEN($B353)=4,$B353*1,$B353))</f>
        <v xml:space="preserve"> </v>
      </c>
      <c r="Z353" s="407">
        <f>IF($Y353=" ",0,"ORG "&amp;$D353&amp;" - "&amp;$G353)</f>
        <v>0</v>
      </c>
      <c r="AA353" s="408" t="str">
        <f>$B353&amp;LEFT($C353,4)&amp;$D353&amp;$E353&amp;$F353</f>
        <v>Celk</v>
      </c>
      <c r="AB353" s="388"/>
      <c r="AC353" s="409"/>
      <c r="AD353" s="388"/>
      <c r="AE353" s="388"/>
      <c r="AF353" s="388"/>
    </row>
    <row r="354" spans="1:32" outlineLevel="2" x14ac:dyDescent="0.2">
      <c r="A354" s="391">
        <f t="shared" si="68"/>
        <v>352</v>
      </c>
      <c r="B354" s="422" t="s">
        <v>420</v>
      </c>
      <c r="C354" s="393" t="s">
        <v>811</v>
      </c>
      <c r="D354" s="393">
        <v>2695</v>
      </c>
      <c r="E354" s="393">
        <v>6351</v>
      </c>
      <c r="F354" s="402"/>
      <c r="G354" s="426" t="s">
        <v>812</v>
      </c>
      <c r="H354" s="419" t="s">
        <v>813</v>
      </c>
      <c r="I354" s="419" t="s">
        <v>814</v>
      </c>
      <c r="J354" s="420">
        <v>8800</v>
      </c>
      <c r="K354" s="420"/>
      <c r="L354" s="420">
        <v>0</v>
      </c>
      <c r="M354" s="421">
        <v>4000</v>
      </c>
      <c r="N354" s="421">
        <f>4000+4800</f>
        <v>8800</v>
      </c>
      <c r="O354" s="420">
        <v>8800</v>
      </c>
      <c r="P354" s="399">
        <f t="shared" si="69"/>
        <v>1</v>
      </c>
      <c r="Q354" s="421"/>
      <c r="R354" s="400"/>
      <c r="S354" s="401"/>
      <c r="T354" s="402" t="s">
        <v>815</v>
      </c>
      <c r="U354" s="454"/>
      <c r="V354" s="404">
        <f t="shared" si="52"/>
        <v>0</v>
      </c>
      <c r="W354" s="405" t="str">
        <f>IF(AND(P354&lt;[3]koment!$F$1,N354&gt;=[3]koment!$F$2),"Komentovat","")</f>
        <v/>
      </c>
      <c r="X354" s="406">
        <f>IF(W354="Komentovat",X352+1,X352)</f>
        <v>38</v>
      </c>
      <c r="Y354" s="404" t="str">
        <f t="shared" si="53"/>
        <v xml:space="preserve"> </v>
      </c>
      <c r="Z354" s="407">
        <f t="shared" si="54"/>
        <v>0</v>
      </c>
      <c r="AA354" s="408" t="str">
        <f t="shared" si="55"/>
        <v>5600363226956351</v>
      </c>
      <c r="AB354" s="388"/>
      <c r="AC354" s="409">
        <f t="shared" si="74"/>
        <v>0</v>
      </c>
      <c r="AD354" s="388"/>
      <c r="AE354" s="388"/>
      <c r="AF354" s="388"/>
    </row>
    <row r="355" spans="1:32" outlineLevel="2" x14ac:dyDescent="0.2">
      <c r="A355" s="391">
        <f t="shared" si="68"/>
        <v>353</v>
      </c>
      <c r="B355" s="422" t="s">
        <v>420</v>
      </c>
      <c r="C355" s="393" t="s">
        <v>811</v>
      </c>
      <c r="D355" s="393">
        <v>2703</v>
      </c>
      <c r="E355" s="393">
        <v>6121</v>
      </c>
      <c r="F355" s="402"/>
      <c r="G355" s="426" t="s">
        <v>816</v>
      </c>
      <c r="H355" s="419" t="s">
        <v>813</v>
      </c>
      <c r="I355" s="419" t="s">
        <v>814</v>
      </c>
      <c r="J355" s="420">
        <v>4100</v>
      </c>
      <c r="K355" s="420"/>
      <c r="L355" s="420"/>
      <c r="M355" s="421">
        <v>3500</v>
      </c>
      <c r="N355" s="421">
        <v>250</v>
      </c>
      <c r="O355" s="420">
        <v>0</v>
      </c>
      <c r="P355" s="399">
        <f t="shared" si="69"/>
        <v>0</v>
      </c>
      <c r="Q355" s="421">
        <v>3850</v>
      </c>
      <c r="R355" s="400"/>
      <c r="S355" s="401"/>
      <c r="T355" s="402" t="s">
        <v>423</v>
      </c>
      <c r="U355" s="454"/>
      <c r="V355" s="404">
        <f t="shared" si="52"/>
        <v>0</v>
      </c>
      <c r="W355" s="405" t="str">
        <f>IF(AND(P355&lt;[3]koment!$F$1,N355&gt;=[3]koment!$F$2),"Komentovat","")</f>
        <v/>
      </c>
      <c r="X355" s="406">
        <f t="shared" si="73"/>
        <v>38</v>
      </c>
      <c r="Y355" s="404" t="str">
        <f t="shared" si="53"/>
        <v xml:space="preserve"> </v>
      </c>
      <c r="Z355" s="407">
        <f t="shared" si="54"/>
        <v>0</v>
      </c>
      <c r="AA355" s="408" t="str">
        <f t="shared" si="55"/>
        <v>5600363227036121</v>
      </c>
      <c r="AB355" s="388"/>
      <c r="AC355" s="409">
        <f t="shared" si="74"/>
        <v>0</v>
      </c>
      <c r="AD355" s="388"/>
      <c r="AE355" s="388"/>
      <c r="AF355" s="388"/>
    </row>
    <row r="356" spans="1:32" outlineLevel="2" x14ac:dyDescent="0.2">
      <c r="A356" s="391">
        <f t="shared" si="68"/>
        <v>354</v>
      </c>
      <c r="B356" s="392" t="s">
        <v>420</v>
      </c>
      <c r="C356" s="393" t="s">
        <v>811</v>
      </c>
      <c r="D356" s="394">
        <v>2739</v>
      </c>
      <c r="E356" s="393">
        <v>6351</v>
      </c>
      <c r="F356" s="395"/>
      <c r="G356" s="459" t="s">
        <v>817</v>
      </c>
      <c r="H356" s="394">
        <v>2016</v>
      </c>
      <c r="I356" s="394">
        <v>2017</v>
      </c>
      <c r="J356" s="396">
        <v>1490</v>
      </c>
      <c r="K356" s="396"/>
      <c r="L356" s="397">
        <v>0</v>
      </c>
      <c r="M356" s="398">
        <v>180</v>
      </c>
      <c r="N356" s="398">
        <v>180</v>
      </c>
      <c r="O356" s="396">
        <v>180</v>
      </c>
      <c r="P356" s="399">
        <f t="shared" si="69"/>
        <v>1</v>
      </c>
      <c r="Q356" s="398">
        <v>1310</v>
      </c>
      <c r="R356" s="400"/>
      <c r="S356" s="401"/>
      <c r="T356" s="402" t="s">
        <v>815</v>
      </c>
      <c r="U356" s="454"/>
      <c r="V356" s="404">
        <f t="shared" si="52"/>
        <v>0</v>
      </c>
      <c r="W356" s="405" t="str">
        <f>IF(AND(P356&lt;[3]koment!$F$1,N356&gt;=[3]koment!$F$2),"Komentovat","")</f>
        <v/>
      </c>
      <c r="X356" s="406">
        <f t="shared" si="73"/>
        <v>38</v>
      </c>
      <c r="Y356" s="404" t="str">
        <f t="shared" si="53"/>
        <v xml:space="preserve"> </v>
      </c>
      <c r="Z356" s="407">
        <f t="shared" si="54"/>
        <v>0</v>
      </c>
      <c r="AA356" s="408" t="str">
        <f t="shared" si="55"/>
        <v>5600363227396351</v>
      </c>
      <c r="AB356" s="388"/>
      <c r="AC356" s="409">
        <f t="shared" si="74"/>
        <v>0</v>
      </c>
      <c r="AD356" s="388"/>
      <c r="AE356" s="388"/>
      <c r="AF356" s="388"/>
    </row>
    <row r="357" spans="1:32" outlineLevel="2" x14ac:dyDescent="0.2">
      <c r="A357" s="391">
        <f t="shared" si="68"/>
        <v>355</v>
      </c>
      <c r="B357" s="392" t="s">
        <v>420</v>
      </c>
      <c r="C357" s="393" t="s">
        <v>811</v>
      </c>
      <c r="D357" s="394">
        <v>2767</v>
      </c>
      <c r="E357" s="393">
        <v>6121</v>
      </c>
      <c r="F357" s="395"/>
      <c r="G357" s="426" t="s">
        <v>818</v>
      </c>
      <c r="H357" s="394">
        <v>2015</v>
      </c>
      <c r="I357" s="394">
        <v>2017</v>
      </c>
      <c r="J357" s="396">
        <v>14000</v>
      </c>
      <c r="K357" s="396"/>
      <c r="L357" s="397">
        <v>0</v>
      </c>
      <c r="M357" s="398">
        <v>13995</v>
      </c>
      <c r="N357" s="398">
        <v>20</v>
      </c>
      <c r="O357" s="396"/>
      <c r="P357" s="399">
        <f t="shared" si="69"/>
        <v>0</v>
      </c>
      <c r="Q357" s="398">
        <v>5840</v>
      </c>
      <c r="R357" s="400">
        <v>8140</v>
      </c>
      <c r="S357" s="401"/>
      <c r="T357" s="402" t="s">
        <v>423</v>
      </c>
      <c r="U357" s="454"/>
      <c r="V357" s="404">
        <f t="shared" ref="V357:V435" si="77">IF(LEN($D357)=4,(J357-L357-N357-Q357-R357-S357),0)</f>
        <v>0</v>
      </c>
      <c r="W357" s="405" t="str">
        <f>IF(AND(P357&lt;[3]koment!$F$1,N357&gt;=[3]koment!$F$2),"Komentovat","")</f>
        <v/>
      </c>
      <c r="X357" s="406">
        <f t="shared" si="73"/>
        <v>38</v>
      </c>
      <c r="Y357" s="404" t="str">
        <f t="shared" ref="Y357:Y435" si="78">IF($V357=0," ",IF(LEN($B357)=4,$B357*1,$B357))</f>
        <v xml:space="preserve"> </v>
      </c>
      <c r="Z357" s="407">
        <f t="shared" ref="Z357:Z435" si="79">IF($Y357=" ",0,"ORG "&amp;$D357&amp;" - "&amp;$G357)</f>
        <v>0</v>
      </c>
      <c r="AA357" s="408" t="str">
        <f t="shared" ref="AA357:AA435" si="80">$B357&amp;LEFT($C357,4)&amp;$D357&amp;$E357&amp;$F357</f>
        <v>5600363227676121</v>
      </c>
      <c r="AB357" s="388"/>
      <c r="AC357" s="409">
        <f t="shared" si="74"/>
        <v>0</v>
      </c>
      <c r="AD357" s="388"/>
      <c r="AE357" s="388"/>
      <c r="AF357" s="388"/>
    </row>
    <row r="358" spans="1:32" outlineLevel="2" x14ac:dyDescent="0.2">
      <c r="A358" s="391">
        <f t="shared" si="68"/>
        <v>356</v>
      </c>
      <c r="B358" s="422" t="s">
        <v>420</v>
      </c>
      <c r="C358" s="393" t="s">
        <v>811</v>
      </c>
      <c r="D358" s="393">
        <v>4870</v>
      </c>
      <c r="E358" s="393">
        <v>6121</v>
      </c>
      <c r="F358" s="402"/>
      <c r="G358" s="394" t="s">
        <v>819</v>
      </c>
      <c r="H358" s="423">
        <v>2001</v>
      </c>
      <c r="I358" s="393">
        <v>2017</v>
      </c>
      <c r="J358" s="420">
        <v>30428</v>
      </c>
      <c r="K358" s="420"/>
      <c r="L358" s="420">
        <v>14728</v>
      </c>
      <c r="M358" s="421">
        <v>12500</v>
      </c>
      <c r="N358" s="421">
        <v>11700</v>
      </c>
      <c r="O358" s="420">
        <v>11376</v>
      </c>
      <c r="P358" s="399">
        <f t="shared" si="69"/>
        <v>0.97230769230769232</v>
      </c>
      <c r="Q358" s="421">
        <v>4000</v>
      </c>
      <c r="R358" s="400"/>
      <c r="S358" s="401"/>
      <c r="T358" s="402" t="s">
        <v>423</v>
      </c>
      <c r="U358" s="454"/>
      <c r="V358" s="404">
        <f t="shared" si="77"/>
        <v>0</v>
      </c>
      <c r="W358" s="405" t="str">
        <f>IF(AND(P358&lt;[3]koment!$F$1,N358&gt;=[3]koment!$F$2),"Komentovat","")</f>
        <v/>
      </c>
      <c r="X358" s="406">
        <f t="shared" si="73"/>
        <v>38</v>
      </c>
      <c r="Y358" s="404" t="str">
        <f t="shared" si="78"/>
        <v xml:space="preserve"> </v>
      </c>
      <c r="Z358" s="407">
        <f t="shared" si="79"/>
        <v>0</v>
      </c>
      <c r="AA358" s="408" t="str">
        <f t="shared" si="80"/>
        <v>5600363248706121</v>
      </c>
      <c r="AB358" s="388"/>
      <c r="AC358" s="409">
        <f t="shared" si="74"/>
        <v>0</v>
      </c>
      <c r="AD358" s="388"/>
      <c r="AE358" s="388"/>
      <c r="AF358" s="388"/>
    </row>
    <row r="359" spans="1:32" outlineLevel="2" x14ac:dyDescent="0.2">
      <c r="A359" s="391">
        <f t="shared" si="68"/>
        <v>357</v>
      </c>
      <c r="B359" s="422" t="s">
        <v>820</v>
      </c>
      <c r="C359" s="393" t="s">
        <v>811</v>
      </c>
      <c r="D359" s="393">
        <v>30019106</v>
      </c>
      <c r="E359" s="393">
        <v>6351</v>
      </c>
      <c r="F359" s="402"/>
      <c r="G359" s="394" t="s">
        <v>821</v>
      </c>
      <c r="H359" s="419"/>
      <c r="I359" s="419"/>
      <c r="J359" s="420"/>
      <c r="K359" s="420"/>
      <c r="L359" s="420">
        <v>9744</v>
      </c>
      <c r="M359" s="421">
        <v>950</v>
      </c>
      <c r="N359" s="421">
        <v>1310</v>
      </c>
      <c r="O359" s="420">
        <v>1226</v>
      </c>
      <c r="P359" s="399">
        <f t="shared" si="69"/>
        <v>0.93587786259541983</v>
      </c>
      <c r="Q359" s="421">
        <v>600</v>
      </c>
      <c r="R359" s="400"/>
      <c r="S359" s="401"/>
      <c r="T359" s="402" t="s">
        <v>815</v>
      </c>
      <c r="U359" s="454"/>
      <c r="V359" s="404">
        <f t="shared" si="77"/>
        <v>0</v>
      </c>
      <c r="W359" s="405" t="str">
        <f>IF(AND(P359&lt;[3]koment!$F$1,N359&gt;=[3]koment!$F$2),"Komentovat","")</f>
        <v/>
      </c>
      <c r="X359" s="406">
        <f t="shared" si="73"/>
        <v>38</v>
      </c>
      <c r="Y359" s="404" t="str">
        <f t="shared" si="78"/>
        <v xml:space="preserve"> </v>
      </c>
      <c r="Z359" s="407">
        <f t="shared" si="79"/>
        <v>0</v>
      </c>
      <c r="AA359" s="408" t="str">
        <f t="shared" si="80"/>
        <v>42003632300191066351</v>
      </c>
      <c r="AB359" s="388"/>
      <c r="AC359" s="409">
        <f t="shared" si="74"/>
        <v>0</v>
      </c>
      <c r="AD359" s="388"/>
      <c r="AE359" s="388"/>
      <c r="AF359" s="388"/>
    </row>
    <row r="360" spans="1:32" outlineLevel="1" x14ac:dyDescent="0.2">
      <c r="A360" s="391">
        <f t="shared" si="68"/>
        <v>358</v>
      </c>
      <c r="B360" s="422"/>
      <c r="C360" s="424" t="s">
        <v>822</v>
      </c>
      <c r="D360" s="393"/>
      <c r="E360" s="393"/>
      <c r="F360" s="402"/>
      <c r="G360" s="394"/>
      <c r="H360" s="419"/>
      <c r="I360" s="419"/>
      <c r="J360" s="420">
        <f t="shared" ref="J360:O360" si="81">SUBTOTAL(9,J354:J359)</f>
        <v>58818</v>
      </c>
      <c r="K360" s="420">
        <f t="shared" si="81"/>
        <v>0</v>
      </c>
      <c r="L360" s="420">
        <f t="shared" si="81"/>
        <v>24472</v>
      </c>
      <c r="M360" s="421">
        <f t="shared" si="81"/>
        <v>35125</v>
      </c>
      <c r="N360" s="421">
        <f t="shared" si="81"/>
        <v>22260</v>
      </c>
      <c r="O360" s="420">
        <f t="shared" si="81"/>
        <v>21582</v>
      </c>
      <c r="P360" s="399">
        <f t="shared" si="69"/>
        <v>0.96954177897574123</v>
      </c>
      <c r="Q360" s="421">
        <f>SUBTOTAL(9,Q354:Q359)</f>
        <v>15600</v>
      </c>
      <c r="R360" s="400">
        <f>SUBTOTAL(9,R354:R359)</f>
        <v>8140</v>
      </c>
      <c r="S360" s="401">
        <f>SUBTOTAL(9,S354:S359)</f>
        <v>0</v>
      </c>
      <c r="T360" s="402"/>
      <c r="U360" s="454"/>
      <c r="V360" s="404"/>
      <c r="W360" s="405"/>
      <c r="X360" s="406"/>
      <c r="Y360" s="404" t="str">
        <f>IF($V360=0," ",IF(LEN($B360)=4,$B360*1,$B360))</f>
        <v xml:space="preserve"> </v>
      </c>
      <c r="Z360" s="407">
        <f>IF($Y360=" ",0,"ORG "&amp;$D360&amp;" - "&amp;$G360)</f>
        <v>0</v>
      </c>
      <c r="AA360" s="408" t="str">
        <f>$B360&amp;LEFT($C360,4)&amp;$D360&amp;$E360&amp;$F360</f>
        <v>Celk</v>
      </c>
      <c r="AB360" s="388"/>
      <c r="AC360" s="409"/>
      <c r="AD360" s="388"/>
      <c r="AE360" s="388"/>
      <c r="AF360" s="388"/>
    </row>
    <row r="361" spans="1:32" outlineLevel="2" x14ac:dyDescent="0.2">
      <c r="A361" s="391">
        <f t="shared" si="68"/>
        <v>359</v>
      </c>
      <c r="B361" s="392" t="s">
        <v>420</v>
      </c>
      <c r="C361" s="393" t="s">
        <v>823</v>
      </c>
      <c r="D361" s="394">
        <v>2696</v>
      </c>
      <c r="E361" s="393">
        <v>6313</v>
      </c>
      <c r="F361" s="395"/>
      <c r="G361" s="426" t="s">
        <v>824</v>
      </c>
      <c r="H361" s="394">
        <v>2016</v>
      </c>
      <c r="I361" s="394">
        <v>2016</v>
      </c>
      <c r="J361" s="396">
        <v>20000</v>
      </c>
      <c r="K361" s="396"/>
      <c r="L361" s="397"/>
      <c r="M361" s="398">
        <v>20000</v>
      </c>
      <c r="N361" s="398">
        <v>20000</v>
      </c>
      <c r="O361" s="396">
        <v>20000</v>
      </c>
      <c r="P361" s="399">
        <f t="shared" si="69"/>
        <v>1</v>
      </c>
      <c r="Q361" s="398"/>
      <c r="R361" s="400"/>
      <c r="S361" s="401"/>
      <c r="T361" s="402" t="s">
        <v>423</v>
      </c>
      <c r="U361" s="454"/>
      <c r="V361" s="404">
        <f t="shared" si="77"/>
        <v>0</v>
      </c>
      <c r="W361" s="405" t="str">
        <f>IF(AND(P361&lt;[3]koment!$F$1,N361&gt;=[3]koment!$F$2),"Komentovat","")</f>
        <v/>
      </c>
      <c r="X361" s="406">
        <f>IF(W361="Komentovat",X359+1,X359)</f>
        <v>38</v>
      </c>
      <c r="Y361" s="404" t="str">
        <f t="shared" si="78"/>
        <v xml:space="preserve"> </v>
      </c>
      <c r="Z361" s="407">
        <f t="shared" si="79"/>
        <v>0</v>
      </c>
      <c r="AA361" s="408" t="str">
        <f t="shared" si="80"/>
        <v>5600363326966313</v>
      </c>
      <c r="AB361" s="388"/>
      <c r="AC361" s="409">
        <f t="shared" si="74"/>
        <v>0</v>
      </c>
      <c r="AD361" s="388"/>
      <c r="AE361" s="388"/>
      <c r="AF361" s="388"/>
    </row>
    <row r="362" spans="1:32" outlineLevel="2" x14ac:dyDescent="0.2">
      <c r="A362" s="391">
        <f t="shared" si="68"/>
        <v>360</v>
      </c>
      <c r="B362" s="392" t="s">
        <v>420</v>
      </c>
      <c r="C362" s="393" t="s">
        <v>823</v>
      </c>
      <c r="D362" s="394">
        <v>2766</v>
      </c>
      <c r="E362" s="393">
        <v>6121</v>
      </c>
      <c r="F362" s="395"/>
      <c r="G362" s="449" t="s">
        <v>825</v>
      </c>
      <c r="H362" s="394">
        <v>2015</v>
      </c>
      <c r="I362" s="394">
        <v>2019</v>
      </c>
      <c r="J362" s="396">
        <v>199100</v>
      </c>
      <c r="K362" s="396"/>
      <c r="L362" s="397">
        <v>2212</v>
      </c>
      <c r="M362" s="398">
        <v>10000</v>
      </c>
      <c r="N362" s="398">
        <v>1000</v>
      </c>
      <c r="O362" s="396">
        <v>1</v>
      </c>
      <c r="P362" s="399">
        <f t="shared" si="69"/>
        <v>1E-3</v>
      </c>
      <c r="Q362" s="398">
        <v>17000</v>
      </c>
      <c r="R362" s="400">
        <v>77888</v>
      </c>
      <c r="S362" s="401">
        <v>100000</v>
      </c>
      <c r="T362" s="402" t="s">
        <v>423</v>
      </c>
      <c r="U362" s="454"/>
      <c r="V362" s="404">
        <f t="shared" si="77"/>
        <v>1000</v>
      </c>
      <c r="W362" s="405" t="str">
        <f>IF(AND(P362&lt;[3]koment!$F$1,N362&gt;=[3]koment!$F$2),"Komentovat","")</f>
        <v>Komentovat</v>
      </c>
      <c r="X362" s="406">
        <f t="shared" si="73"/>
        <v>39</v>
      </c>
      <c r="Y362" s="404">
        <f t="shared" si="78"/>
        <v>5600</v>
      </c>
      <c r="Z362" s="407" t="str">
        <f t="shared" si="79"/>
        <v>ORG 2766 - 12.stavba sekundárního kolektoru Česká-Středova</v>
      </c>
      <c r="AA362" s="408" t="str">
        <f t="shared" si="80"/>
        <v>5600363327666121</v>
      </c>
      <c r="AB362" s="388"/>
      <c r="AC362" s="409">
        <f t="shared" si="74"/>
        <v>1000</v>
      </c>
      <c r="AD362" s="388"/>
      <c r="AE362" s="388"/>
      <c r="AF362" s="388"/>
    </row>
    <row r="363" spans="1:32" outlineLevel="1" x14ac:dyDescent="0.2">
      <c r="A363" s="391">
        <f t="shared" si="68"/>
        <v>361</v>
      </c>
      <c r="B363" s="392"/>
      <c r="C363" s="424" t="s">
        <v>826</v>
      </c>
      <c r="D363" s="394"/>
      <c r="E363" s="393"/>
      <c r="F363" s="395"/>
      <c r="G363" s="449"/>
      <c r="H363" s="394"/>
      <c r="I363" s="394"/>
      <c r="J363" s="396">
        <f t="shared" ref="J363:O363" si="82">SUBTOTAL(9,J361:J362)</f>
        <v>219100</v>
      </c>
      <c r="K363" s="396">
        <f t="shared" si="82"/>
        <v>0</v>
      </c>
      <c r="L363" s="397">
        <f t="shared" si="82"/>
        <v>2212</v>
      </c>
      <c r="M363" s="398">
        <f t="shared" si="82"/>
        <v>30000</v>
      </c>
      <c r="N363" s="398">
        <f t="shared" si="82"/>
        <v>21000</v>
      </c>
      <c r="O363" s="396">
        <f t="shared" si="82"/>
        <v>20001</v>
      </c>
      <c r="P363" s="399">
        <f t="shared" si="69"/>
        <v>0.9524285714285714</v>
      </c>
      <c r="Q363" s="398">
        <f>SUBTOTAL(9,Q361:Q362)</f>
        <v>17000</v>
      </c>
      <c r="R363" s="400">
        <f>SUBTOTAL(9,R361:R362)</f>
        <v>77888</v>
      </c>
      <c r="S363" s="401">
        <f>SUBTOTAL(9,S361:S362)</f>
        <v>100000</v>
      </c>
      <c r="T363" s="402"/>
      <c r="U363" s="454"/>
      <c r="V363" s="404"/>
      <c r="W363" s="405"/>
      <c r="X363" s="406"/>
      <c r="Y363" s="404" t="str">
        <f>IF($V363=0," ",IF(LEN($B363)=4,$B363*1,$B363))</f>
        <v xml:space="preserve"> </v>
      </c>
      <c r="Z363" s="407">
        <f>IF($Y363=" ",0,"ORG "&amp;$D363&amp;" - "&amp;$G363)</f>
        <v>0</v>
      </c>
      <c r="AA363" s="408" t="str">
        <f>$B363&amp;LEFT($C363,4)&amp;$D363&amp;$E363&amp;$F363</f>
        <v>Celk</v>
      </c>
      <c r="AB363" s="388"/>
      <c r="AC363" s="409"/>
      <c r="AD363" s="388"/>
      <c r="AE363" s="388"/>
      <c r="AF363" s="388"/>
    </row>
    <row r="364" spans="1:32" outlineLevel="2" x14ac:dyDescent="0.2">
      <c r="A364" s="391">
        <f t="shared" si="68"/>
        <v>362</v>
      </c>
      <c r="B364" s="392" t="s">
        <v>469</v>
      </c>
      <c r="C364" s="393" t="s">
        <v>827</v>
      </c>
      <c r="D364" s="394">
        <v>30159149</v>
      </c>
      <c r="E364" s="393">
        <v>6351</v>
      </c>
      <c r="F364" s="395"/>
      <c r="G364" s="394" t="s">
        <v>828</v>
      </c>
      <c r="H364" s="394"/>
      <c r="I364" s="394"/>
      <c r="J364" s="396"/>
      <c r="K364" s="396"/>
      <c r="L364" s="397"/>
      <c r="M364" s="398"/>
      <c r="N364" s="398">
        <v>1471</v>
      </c>
      <c r="O364" s="396">
        <v>1423</v>
      </c>
      <c r="P364" s="399">
        <f t="shared" si="69"/>
        <v>0.96736913664174029</v>
      </c>
      <c r="Q364" s="398"/>
      <c r="R364" s="400"/>
      <c r="S364" s="401"/>
      <c r="T364" s="402" t="s">
        <v>829</v>
      </c>
      <c r="U364" s="454"/>
      <c r="V364" s="404">
        <f t="shared" si="77"/>
        <v>0</v>
      </c>
      <c r="W364" s="405" t="str">
        <f>IF(AND(P364&lt;[3]koment!$F$1,N364&gt;=[3]koment!$F$2),"Komentovat","")</f>
        <v/>
      </c>
      <c r="X364" s="406">
        <f>IF(W364="Komentovat",X362+1,X362)</f>
        <v>39</v>
      </c>
      <c r="Y364" s="404" t="str">
        <f t="shared" si="78"/>
        <v xml:space="preserve"> </v>
      </c>
      <c r="Z364" s="407">
        <f t="shared" si="79"/>
        <v>0</v>
      </c>
      <c r="AA364" s="408" t="str">
        <f t="shared" si="80"/>
        <v>41003635301591496351</v>
      </c>
      <c r="AB364" s="388"/>
      <c r="AC364" s="409">
        <f t="shared" si="74"/>
        <v>0</v>
      </c>
      <c r="AD364" s="388"/>
      <c r="AE364" s="388"/>
      <c r="AF364" s="388"/>
    </row>
    <row r="365" spans="1:32" outlineLevel="1" x14ac:dyDescent="0.2">
      <c r="A365" s="391">
        <f t="shared" si="68"/>
        <v>363</v>
      </c>
      <c r="B365" s="392"/>
      <c r="C365" s="424" t="s">
        <v>830</v>
      </c>
      <c r="D365" s="394"/>
      <c r="E365" s="393"/>
      <c r="F365" s="395"/>
      <c r="G365" s="394"/>
      <c r="H365" s="394"/>
      <c r="I365" s="394"/>
      <c r="J365" s="396">
        <f t="shared" ref="J365:O365" si="83">SUBTOTAL(9,J364:J364)</f>
        <v>0</v>
      </c>
      <c r="K365" s="396">
        <f t="shared" si="83"/>
        <v>0</v>
      </c>
      <c r="L365" s="397">
        <f t="shared" si="83"/>
        <v>0</v>
      </c>
      <c r="M365" s="398">
        <f t="shared" si="83"/>
        <v>0</v>
      </c>
      <c r="N365" s="398">
        <f t="shared" si="83"/>
        <v>1471</v>
      </c>
      <c r="O365" s="396">
        <f t="shared" si="83"/>
        <v>1423</v>
      </c>
      <c r="P365" s="399">
        <f t="shared" si="69"/>
        <v>0.96736913664174029</v>
      </c>
      <c r="Q365" s="398">
        <f>SUBTOTAL(9,Q364:Q364)</f>
        <v>0</v>
      </c>
      <c r="R365" s="400">
        <f>SUBTOTAL(9,R364:R364)</f>
        <v>0</v>
      </c>
      <c r="S365" s="401">
        <f>SUBTOTAL(9,S364:S364)</f>
        <v>0</v>
      </c>
      <c r="T365" s="402"/>
      <c r="U365" s="454"/>
      <c r="V365" s="404"/>
      <c r="W365" s="405"/>
      <c r="X365" s="406"/>
      <c r="Y365" s="404" t="str">
        <f>IF($V365=0," ",IF(LEN($B365)=4,$B365*1,$B365))</f>
        <v xml:space="preserve"> </v>
      </c>
      <c r="Z365" s="407">
        <f>IF($Y365=" ",0,"ORG "&amp;$D365&amp;" - "&amp;$G365)</f>
        <v>0</v>
      </c>
      <c r="AA365" s="408" t="str">
        <f>$B365&amp;LEFT($C365,4)&amp;$D365&amp;$E365&amp;$F365</f>
        <v>Celk</v>
      </c>
      <c r="AB365" s="388"/>
      <c r="AC365" s="409"/>
      <c r="AD365" s="388"/>
      <c r="AE365" s="388"/>
      <c r="AF365" s="388"/>
    </row>
    <row r="366" spans="1:32" outlineLevel="2" x14ac:dyDescent="0.2">
      <c r="A366" s="391">
        <f t="shared" si="68"/>
        <v>364</v>
      </c>
      <c r="B366" s="422" t="s">
        <v>459</v>
      </c>
      <c r="C366" s="393" t="s">
        <v>831</v>
      </c>
      <c r="D366" s="393">
        <v>2850</v>
      </c>
      <c r="E366" s="393">
        <v>6119</v>
      </c>
      <c r="F366" s="402"/>
      <c r="G366" s="394" t="s">
        <v>832</v>
      </c>
      <c r="H366" s="393">
        <v>2013</v>
      </c>
      <c r="I366" s="393">
        <v>2017</v>
      </c>
      <c r="J366" s="420">
        <v>1918</v>
      </c>
      <c r="K366" s="420"/>
      <c r="L366" s="420">
        <v>823</v>
      </c>
      <c r="M366" s="421">
        <v>0</v>
      </c>
      <c r="N366" s="421">
        <v>779</v>
      </c>
      <c r="O366" s="420">
        <v>644</v>
      </c>
      <c r="P366" s="399">
        <f t="shared" si="69"/>
        <v>0.82670089858793327</v>
      </c>
      <c r="Q366" s="421">
        <v>316</v>
      </c>
      <c r="R366" s="400"/>
      <c r="S366" s="401"/>
      <c r="T366" s="402" t="s">
        <v>461</v>
      </c>
      <c r="U366" s="454"/>
      <c r="V366" s="404">
        <f t="shared" si="77"/>
        <v>0</v>
      </c>
      <c r="W366" s="405" t="str">
        <f>IF(AND(P366&lt;[3]koment!$F$1,N366&gt;=[3]koment!$F$2),"Komentovat","")</f>
        <v/>
      </c>
      <c r="X366" s="406">
        <f>IF(W366="Komentovat",X364+1,X364)</f>
        <v>39</v>
      </c>
      <c r="Y366" s="404" t="str">
        <f t="shared" si="78"/>
        <v xml:space="preserve"> </v>
      </c>
      <c r="Z366" s="407">
        <f t="shared" si="79"/>
        <v>0</v>
      </c>
      <c r="AA366" s="408" t="str">
        <f t="shared" si="80"/>
        <v>5400363628506119</v>
      </c>
      <c r="AB366" s="388"/>
      <c r="AC366" s="409">
        <f t="shared" si="74"/>
        <v>0</v>
      </c>
      <c r="AD366" s="388"/>
      <c r="AE366" s="388"/>
      <c r="AF366" s="388"/>
    </row>
    <row r="367" spans="1:32" outlineLevel="2" x14ac:dyDescent="0.2">
      <c r="A367" s="391">
        <f t="shared" si="68"/>
        <v>365</v>
      </c>
      <c r="B367" s="392" t="s">
        <v>459</v>
      </c>
      <c r="C367" s="393" t="s">
        <v>831</v>
      </c>
      <c r="D367" s="394">
        <v>2850</v>
      </c>
      <c r="E367" s="393">
        <v>6121</v>
      </c>
      <c r="F367" s="395"/>
      <c r="G367" s="394" t="s">
        <v>832</v>
      </c>
      <c r="H367" s="394"/>
      <c r="I367" s="394"/>
      <c r="J367" s="396"/>
      <c r="K367" s="396"/>
      <c r="L367" s="397"/>
      <c r="M367" s="398">
        <v>779</v>
      </c>
      <c r="N367" s="398"/>
      <c r="O367" s="396"/>
      <c r="P367" s="399" t="str">
        <f t="shared" si="69"/>
        <v xml:space="preserve"> </v>
      </c>
      <c r="Q367" s="398"/>
      <c r="R367" s="400"/>
      <c r="S367" s="401"/>
      <c r="T367" s="402" t="s">
        <v>461</v>
      </c>
      <c r="U367" s="460"/>
      <c r="V367" s="404">
        <f t="shared" si="77"/>
        <v>0</v>
      </c>
      <c r="W367" s="405" t="str">
        <f>IF(AND(P367&lt;[3]koment!$F$1,N367&gt;=[3]koment!$F$2),"Komentovat","")</f>
        <v/>
      </c>
      <c r="X367" s="406">
        <f t="shared" si="73"/>
        <v>39</v>
      </c>
      <c r="Y367" s="404" t="str">
        <f t="shared" si="78"/>
        <v xml:space="preserve"> </v>
      </c>
      <c r="Z367" s="407">
        <f t="shared" si="79"/>
        <v>0</v>
      </c>
      <c r="AA367" s="408" t="str">
        <f t="shared" si="80"/>
        <v>5400363628506121</v>
      </c>
      <c r="AB367" s="388"/>
      <c r="AC367" s="409">
        <f t="shared" si="74"/>
        <v>0</v>
      </c>
      <c r="AD367" s="388"/>
      <c r="AE367" s="388"/>
      <c r="AF367" s="388"/>
    </row>
    <row r="368" spans="1:32" outlineLevel="2" x14ac:dyDescent="0.2">
      <c r="A368" s="391">
        <f t="shared" si="68"/>
        <v>366</v>
      </c>
      <c r="B368" s="392" t="s">
        <v>833</v>
      </c>
      <c r="C368" s="393" t="s">
        <v>831</v>
      </c>
      <c r="D368" s="394">
        <v>5312</v>
      </c>
      <c r="E368" s="393">
        <v>6121</v>
      </c>
      <c r="F368" s="395"/>
      <c r="G368" s="394" t="s">
        <v>834</v>
      </c>
      <c r="H368" s="394">
        <v>2016</v>
      </c>
      <c r="I368" s="394">
        <v>2018</v>
      </c>
      <c r="J368" s="396">
        <v>3000</v>
      </c>
      <c r="K368" s="396"/>
      <c r="L368" s="397"/>
      <c r="M368" s="398"/>
      <c r="N368" s="398">
        <v>1000</v>
      </c>
      <c r="O368" s="396"/>
      <c r="P368" s="399">
        <f t="shared" si="69"/>
        <v>0</v>
      </c>
      <c r="Q368" s="398">
        <v>1000</v>
      </c>
      <c r="R368" s="400"/>
      <c r="S368" s="401"/>
      <c r="T368" s="402" t="s">
        <v>835</v>
      </c>
      <c r="U368" s="454"/>
      <c r="V368" s="404">
        <f t="shared" si="77"/>
        <v>1000</v>
      </c>
      <c r="W368" s="405" t="str">
        <f>IF(AND(P368&lt;[3]koment!$F$1,N368&gt;=[3]koment!$F$2),"Komentovat","")</f>
        <v>Komentovat</v>
      </c>
      <c r="X368" s="406">
        <f t="shared" si="73"/>
        <v>40</v>
      </c>
      <c r="Y368" s="404">
        <f t="shared" si="78"/>
        <v>4300</v>
      </c>
      <c r="Z368" s="407" t="str">
        <f t="shared" si="79"/>
        <v>ORG 5312 - Ravitalizace staré Ponávky - příprava</v>
      </c>
      <c r="AA368" s="408" t="str">
        <f t="shared" si="80"/>
        <v>4300363653126121</v>
      </c>
      <c r="AB368" s="388"/>
      <c r="AC368" s="409">
        <f t="shared" si="74"/>
        <v>1000</v>
      </c>
      <c r="AD368" s="388"/>
      <c r="AE368" s="388"/>
      <c r="AF368" s="388"/>
    </row>
    <row r="369" spans="1:32" outlineLevel="1" x14ac:dyDescent="0.2">
      <c r="A369" s="391">
        <f t="shared" si="68"/>
        <v>367</v>
      </c>
      <c r="B369" s="392"/>
      <c r="C369" s="424" t="s">
        <v>836</v>
      </c>
      <c r="D369" s="394"/>
      <c r="E369" s="393"/>
      <c r="F369" s="395"/>
      <c r="G369" s="394"/>
      <c r="H369" s="394"/>
      <c r="I369" s="394"/>
      <c r="J369" s="396">
        <f t="shared" ref="J369:O369" si="84">SUBTOTAL(9,J366:J368)</f>
        <v>4918</v>
      </c>
      <c r="K369" s="396">
        <f t="shared" si="84"/>
        <v>0</v>
      </c>
      <c r="L369" s="397">
        <f t="shared" si="84"/>
        <v>823</v>
      </c>
      <c r="M369" s="398">
        <f t="shared" si="84"/>
        <v>779</v>
      </c>
      <c r="N369" s="398">
        <f t="shared" si="84"/>
        <v>1779</v>
      </c>
      <c r="O369" s="396">
        <f t="shared" si="84"/>
        <v>644</v>
      </c>
      <c r="P369" s="399">
        <f t="shared" si="69"/>
        <v>0.36200112422709385</v>
      </c>
      <c r="Q369" s="398">
        <f>SUBTOTAL(9,Q366:Q368)</f>
        <v>1316</v>
      </c>
      <c r="R369" s="400">
        <f>SUBTOTAL(9,R366:R368)</f>
        <v>0</v>
      </c>
      <c r="S369" s="401">
        <f>SUBTOTAL(9,S366:S368)</f>
        <v>0</v>
      </c>
      <c r="T369" s="402"/>
      <c r="U369" s="454"/>
      <c r="V369" s="404"/>
      <c r="W369" s="405"/>
      <c r="X369" s="406"/>
      <c r="Y369" s="404" t="str">
        <f>IF($V369=0," ",IF(LEN($B369)=4,$B369*1,$B369))</f>
        <v xml:space="preserve"> </v>
      </c>
      <c r="Z369" s="407">
        <f>IF($Y369=" ",0,"ORG "&amp;$D369&amp;" - "&amp;$G369)</f>
        <v>0</v>
      </c>
      <c r="AA369" s="408" t="str">
        <f>$B369&amp;LEFT($C369,4)&amp;$D369&amp;$E369&amp;$F369</f>
        <v>Celk</v>
      </c>
      <c r="AB369" s="388"/>
      <c r="AC369" s="409"/>
      <c r="AD369" s="388"/>
      <c r="AE369" s="388"/>
      <c r="AF369" s="388"/>
    </row>
    <row r="370" spans="1:32" outlineLevel="2" x14ac:dyDescent="0.2">
      <c r="A370" s="391">
        <f t="shared" si="68"/>
        <v>368</v>
      </c>
      <c r="B370" s="392">
        <v>5600</v>
      </c>
      <c r="C370" s="393" t="s">
        <v>837</v>
      </c>
      <c r="D370" s="394">
        <v>2641</v>
      </c>
      <c r="E370" s="393">
        <v>6121</v>
      </c>
      <c r="F370" s="395"/>
      <c r="G370" s="394" t="s">
        <v>838</v>
      </c>
      <c r="H370" s="394">
        <v>2016</v>
      </c>
      <c r="I370" s="394">
        <v>2017</v>
      </c>
      <c r="J370" s="396">
        <v>2868</v>
      </c>
      <c r="K370" s="396"/>
      <c r="L370" s="397"/>
      <c r="M370" s="398"/>
      <c r="N370" s="398">
        <v>120</v>
      </c>
      <c r="O370" s="396"/>
      <c r="P370" s="399">
        <f t="shared" si="69"/>
        <v>0</v>
      </c>
      <c r="Q370" s="398">
        <v>2748</v>
      </c>
      <c r="R370" s="400"/>
      <c r="S370" s="401"/>
      <c r="T370" s="402" t="s">
        <v>423</v>
      </c>
      <c r="U370" s="454"/>
      <c r="V370" s="404">
        <f t="shared" si="77"/>
        <v>0</v>
      </c>
      <c r="W370" s="405" t="str">
        <f>IF(AND(P370&lt;[3]koment!$F$1,N370&gt;=[3]koment!$F$2),"Komentovat","")</f>
        <v/>
      </c>
      <c r="X370" s="406">
        <f>IF(W370="Komentovat",X368+1,X368)</f>
        <v>40</v>
      </c>
      <c r="Y370" s="404" t="str">
        <f t="shared" si="78"/>
        <v xml:space="preserve"> </v>
      </c>
      <c r="Z370" s="407">
        <f t="shared" si="79"/>
        <v>0</v>
      </c>
      <c r="AA370" s="408" t="str">
        <f t="shared" si="80"/>
        <v>5600363926416121</v>
      </c>
      <c r="AB370" s="388"/>
      <c r="AC370" s="409">
        <f t="shared" si="74"/>
        <v>0</v>
      </c>
      <c r="AD370" s="388"/>
      <c r="AE370" s="388"/>
      <c r="AF370" s="388"/>
    </row>
    <row r="371" spans="1:32" outlineLevel="2" x14ac:dyDescent="0.2">
      <c r="A371" s="391">
        <f t="shared" si="68"/>
        <v>369</v>
      </c>
      <c r="B371" s="392" t="s">
        <v>187</v>
      </c>
      <c r="C371" s="393" t="s">
        <v>837</v>
      </c>
      <c r="D371" s="394">
        <v>2665</v>
      </c>
      <c r="E371" s="393">
        <v>6121</v>
      </c>
      <c r="F371" s="395"/>
      <c r="G371" s="394" t="s">
        <v>839</v>
      </c>
      <c r="H371" s="394">
        <v>2016</v>
      </c>
      <c r="I371" s="394">
        <v>2016</v>
      </c>
      <c r="J371" s="396">
        <v>4200</v>
      </c>
      <c r="K371" s="396"/>
      <c r="L371" s="397"/>
      <c r="M371" s="398"/>
      <c r="N371" s="398">
        <v>4200</v>
      </c>
      <c r="O371" s="396">
        <v>4103</v>
      </c>
      <c r="P371" s="399">
        <f t="shared" si="69"/>
        <v>0.97690476190476194</v>
      </c>
      <c r="Q371" s="398"/>
      <c r="R371" s="400"/>
      <c r="S371" s="401"/>
      <c r="T371" s="402" t="s">
        <v>678</v>
      </c>
      <c r="U371" s="454"/>
      <c r="V371" s="404">
        <f t="shared" si="77"/>
        <v>0</v>
      </c>
      <c r="W371" s="405" t="str">
        <f>IF(AND(P371&lt;[3]koment!$F$1,N371&gt;=[3]koment!$F$2),"Komentovat","")</f>
        <v/>
      </c>
      <c r="X371" s="406">
        <f t="shared" si="73"/>
        <v>40</v>
      </c>
      <c r="Y371" s="404" t="str">
        <f t="shared" si="78"/>
        <v xml:space="preserve"> </v>
      </c>
      <c r="Z371" s="407">
        <f t="shared" si="79"/>
        <v>0</v>
      </c>
      <c r="AA371" s="408" t="str">
        <f t="shared" si="80"/>
        <v>6600363926656121</v>
      </c>
      <c r="AB371" s="388"/>
      <c r="AC371" s="409">
        <f t="shared" si="74"/>
        <v>0</v>
      </c>
      <c r="AD371" s="388"/>
      <c r="AE371" s="388"/>
      <c r="AF371" s="388"/>
    </row>
    <row r="372" spans="1:32" outlineLevel="2" x14ac:dyDescent="0.2">
      <c r="A372" s="391">
        <f t="shared" si="68"/>
        <v>370</v>
      </c>
      <c r="B372" s="392" t="s">
        <v>187</v>
      </c>
      <c r="C372" s="393" t="s">
        <v>837</v>
      </c>
      <c r="D372" s="394">
        <v>2669</v>
      </c>
      <c r="E372" s="393">
        <v>6121</v>
      </c>
      <c r="F372" s="395"/>
      <c r="G372" s="394" t="s">
        <v>840</v>
      </c>
      <c r="H372" s="394">
        <v>2016</v>
      </c>
      <c r="I372" s="394">
        <v>2017</v>
      </c>
      <c r="J372" s="396">
        <v>7200</v>
      </c>
      <c r="K372" s="396"/>
      <c r="L372" s="397"/>
      <c r="M372" s="398"/>
      <c r="N372" s="398">
        <v>4900</v>
      </c>
      <c r="O372" s="396">
        <v>4264</v>
      </c>
      <c r="P372" s="399">
        <f t="shared" si="69"/>
        <v>0.87020408163265306</v>
      </c>
      <c r="Q372" s="398">
        <v>2300</v>
      </c>
      <c r="R372" s="400"/>
      <c r="S372" s="401"/>
      <c r="T372" s="402" t="s">
        <v>678</v>
      </c>
      <c r="U372" s="454"/>
      <c r="V372" s="404">
        <f t="shared" si="77"/>
        <v>0</v>
      </c>
      <c r="W372" s="405" t="str">
        <f>IF(AND(P372&lt;[3]koment!$F$1,N372&gt;=[3]koment!$F$2),"Komentovat","")</f>
        <v/>
      </c>
      <c r="X372" s="406">
        <f t="shared" si="73"/>
        <v>40</v>
      </c>
      <c r="Y372" s="404" t="str">
        <f t="shared" si="78"/>
        <v xml:space="preserve"> </v>
      </c>
      <c r="Z372" s="407">
        <f t="shared" si="79"/>
        <v>0</v>
      </c>
      <c r="AA372" s="408" t="str">
        <f t="shared" si="80"/>
        <v>6600363926696121</v>
      </c>
      <c r="AB372" s="388"/>
      <c r="AC372" s="409">
        <f t="shared" si="74"/>
        <v>0</v>
      </c>
      <c r="AD372" s="388"/>
      <c r="AE372" s="388"/>
      <c r="AF372" s="388"/>
    </row>
    <row r="373" spans="1:32" outlineLevel="2" x14ac:dyDescent="0.2">
      <c r="A373" s="391">
        <f t="shared" si="68"/>
        <v>371</v>
      </c>
      <c r="B373" s="422" t="s">
        <v>420</v>
      </c>
      <c r="C373" s="393" t="s">
        <v>837</v>
      </c>
      <c r="D373" s="393">
        <v>3130</v>
      </c>
      <c r="E373" s="393">
        <v>6121</v>
      </c>
      <c r="F373" s="402"/>
      <c r="G373" s="394" t="s">
        <v>639</v>
      </c>
      <c r="H373" s="393"/>
      <c r="I373" s="393"/>
      <c r="J373" s="420"/>
      <c r="K373" s="420"/>
      <c r="L373" s="420">
        <v>10548</v>
      </c>
      <c r="M373" s="421">
        <v>20355</v>
      </c>
      <c r="N373" s="421">
        <v>552</v>
      </c>
      <c r="O373" s="420">
        <v>1</v>
      </c>
      <c r="P373" s="399">
        <f t="shared" si="69"/>
        <v>1.8115942028985507E-3</v>
      </c>
      <c r="Q373" s="421">
        <v>30000</v>
      </c>
      <c r="R373" s="400"/>
      <c r="S373" s="401"/>
      <c r="T373" s="402" t="s">
        <v>423</v>
      </c>
      <c r="U373" s="454"/>
      <c r="V373" s="404">
        <f t="shared" si="77"/>
        <v>-41100</v>
      </c>
      <c r="W373" s="405" t="str">
        <f>IF(AND(P373&lt;[3]koment!$F$1,N373&gt;=[3]koment!$F$2),"Komentovat","")</f>
        <v/>
      </c>
      <c r="X373" s="406">
        <f t="shared" si="73"/>
        <v>40</v>
      </c>
      <c r="Y373" s="404">
        <f t="shared" si="78"/>
        <v>5600</v>
      </c>
      <c r="Z373" s="407" t="str">
        <f t="shared" si="79"/>
        <v xml:space="preserve">ORG 3130 - Majetkoprávní vypořádání a příprava staveb </v>
      </c>
      <c r="AA373" s="408" t="str">
        <f t="shared" si="80"/>
        <v>5600363931306121</v>
      </c>
      <c r="AB373" s="388"/>
      <c r="AC373" s="409">
        <f t="shared" si="74"/>
        <v>-41100</v>
      </c>
      <c r="AD373" s="388"/>
      <c r="AE373" s="388"/>
      <c r="AF373" s="388"/>
    </row>
    <row r="374" spans="1:32" outlineLevel="2" x14ac:dyDescent="0.2">
      <c r="A374" s="391">
        <f t="shared" si="68"/>
        <v>372</v>
      </c>
      <c r="B374" s="422" t="s">
        <v>187</v>
      </c>
      <c r="C374" s="393" t="s">
        <v>837</v>
      </c>
      <c r="D374" s="393">
        <v>3283</v>
      </c>
      <c r="E374" s="393">
        <v>6121</v>
      </c>
      <c r="F374" s="402"/>
      <c r="G374" s="394" t="s">
        <v>841</v>
      </c>
      <c r="H374" s="423">
        <v>2005</v>
      </c>
      <c r="I374" s="393">
        <v>2017</v>
      </c>
      <c r="J374" s="420">
        <v>53576</v>
      </c>
      <c r="K374" s="420"/>
      <c r="L374" s="420">
        <v>35576</v>
      </c>
      <c r="M374" s="421">
        <v>9500</v>
      </c>
      <c r="N374" s="421">
        <v>7500</v>
      </c>
      <c r="O374" s="420">
        <v>7435</v>
      </c>
      <c r="P374" s="399">
        <f t="shared" si="69"/>
        <v>0.99133333333333329</v>
      </c>
      <c r="Q374" s="421">
        <v>7700</v>
      </c>
      <c r="R374" s="400"/>
      <c r="S374" s="401"/>
      <c r="T374" s="402" t="s">
        <v>678</v>
      </c>
      <c r="U374" s="454"/>
      <c r="V374" s="404">
        <f t="shared" si="77"/>
        <v>2800</v>
      </c>
      <c r="W374" s="405" t="str">
        <f>IF(AND(P374&lt;[3]koment!$F$1,N374&gt;=[3]koment!$F$2),"Komentovat","")</f>
        <v/>
      </c>
      <c r="X374" s="406">
        <f t="shared" si="73"/>
        <v>40</v>
      </c>
      <c r="Y374" s="404">
        <f t="shared" si="78"/>
        <v>6600</v>
      </c>
      <c r="Z374" s="407" t="str">
        <f t="shared" si="79"/>
        <v>ORG 3283 - Technické zhodnocení objektů města</v>
      </c>
      <c r="AA374" s="408" t="str">
        <f t="shared" si="80"/>
        <v>6600363932836121</v>
      </c>
      <c r="AB374" s="388"/>
      <c r="AC374" s="409">
        <f t="shared" si="74"/>
        <v>2800</v>
      </c>
      <c r="AD374" s="388"/>
      <c r="AE374" s="388"/>
      <c r="AF374" s="388"/>
    </row>
    <row r="375" spans="1:32" outlineLevel="2" x14ac:dyDescent="0.2">
      <c r="A375" s="391">
        <f t="shared" si="68"/>
        <v>373</v>
      </c>
      <c r="B375" s="392" t="s">
        <v>842</v>
      </c>
      <c r="C375" s="393" t="s">
        <v>837</v>
      </c>
      <c r="D375" s="394">
        <v>3437</v>
      </c>
      <c r="E375" s="393">
        <v>6121</v>
      </c>
      <c r="F375" s="395"/>
      <c r="G375" s="394" t="s">
        <v>843</v>
      </c>
      <c r="H375" s="394"/>
      <c r="I375" s="394"/>
      <c r="J375" s="396"/>
      <c r="K375" s="396"/>
      <c r="L375" s="397"/>
      <c r="M375" s="398"/>
      <c r="N375" s="398">
        <v>62558</v>
      </c>
      <c r="O375" s="396">
        <v>62558</v>
      </c>
      <c r="P375" s="399">
        <f t="shared" si="69"/>
        <v>1</v>
      </c>
      <c r="Q375" s="398"/>
      <c r="R375" s="400"/>
      <c r="S375" s="401"/>
      <c r="T375" s="402" t="s">
        <v>844</v>
      </c>
      <c r="U375" s="454"/>
      <c r="V375" s="404">
        <f t="shared" si="77"/>
        <v>-62558</v>
      </c>
      <c r="W375" s="405" t="str">
        <f>IF(AND(P375&lt;[3]koment!$F$1,N375&gt;=[3]koment!$F$2),"Komentovat","")</f>
        <v/>
      </c>
      <c r="X375" s="406">
        <f t="shared" si="73"/>
        <v>40</v>
      </c>
      <c r="Y375" s="404">
        <f t="shared" si="78"/>
        <v>6300</v>
      </c>
      <c r="Z375" s="407" t="str">
        <f t="shared" si="79"/>
        <v>ORG 3437 - MO - výkupy pozemků a objektů</v>
      </c>
      <c r="AA375" s="408" t="str">
        <f t="shared" si="80"/>
        <v>6300363934376121</v>
      </c>
      <c r="AB375" s="388"/>
      <c r="AC375" s="409">
        <f t="shared" si="74"/>
        <v>-62558</v>
      </c>
      <c r="AD375" s="388"/>
      <c r="AE375" s="388"/>
      <c r="AF375" s="388"/>
    </row>
    <row r="376" spans="1:32" outlineLevel="2" x14ac:dyDescent="0.2">
      <c r="A376" s="391">
        <f t="shared" si="68"/>
        <v>374</v>
      </c>
      <c r="B376" s="422" t="s">
        <v>842</v>
      </c>
      <c r="C376" s="393" t="s">
        <v>837</v>
      </c>
      <c r="D376" s="393">
        <v>3437</v>
      </c>
      <c r="E376" s="393">
        <v>6130</v>
      </c>
      <c r="F376" s="402"/>
      <c r="G376" s="394" t="s">
        <v>843</v>
      </c>
      <c r="H376" s="393"/>
      <c r="I376" s="393"/>
      <c r="J376" s="420"/>
      <c r="K376" s="420"/>
      <c r="L376" s="420">
        <v>276491</v>
      </c>
      <c r="M376" s="421">
        <v>70000</v>
      </c>
      <c r="N376" s="421">
        <v>41040</v>
      </c>
      <c r="O376" s="420">
        <v>38635</v>
      </c>
      <c r="P376" s="399">
        <f t="shared" si="69"/>
        <v>0.94139863547758285</v>
      </c>
      <c r="Q376" s="421">
        <v>78871</v>
      </c>
      <c r="R376" s="400"/>
      <c r="S376" s="401"/>
      <c r="T376" s="402" t="s">
        <v>844</v>
      </c>
      <c r="U376" s="454"/>
      <c r="V376" s="404">
        <f t="shared" si="77"/>
        <v>-396402</v>
      </c>
      <c r="W376" s="405" t="str">
        <f>IF(AND(P376&lt;[3]koment!$F$1,N376&gt;=[3]koment!$F$2),"Komentovat","")</f>
        <v/>
      </c>
      <c r="X376" s="406">
        <f t="shared" si="73"/>
        <v>40</v>
      </c>
      <c r="Y376" s="404">
        <f t="shared" si="78"/>
        <v>6300</v>
      </c>
      <c r="Z376" s="407" t="str">
        <f t="shared" si="79"/>
        <v>ORG 3437 - MO - výkupy pozemků a objektů</v>
      </c>
      <c r="AA376" s="408" t="str">
        <f t="shared" si="80"/>
        <v>6300363934376130</v>
      </c>
      <c r="AB376" s="388"/>
      <c r="AC376" s="409">
        <f t="shared" si="74"/>
        <v>-396402</v>
      </c>
      <c r="AD376" s="388"/>
      <c r="AE376" s="388"/>
      <c r="AF376" s="388"/>
    </row>
    <row r="377" spans="1:32" outlineLevel="2" x14ac:dyDescent="0.2">
      <c r="A377" s="391">
        <f t="shared" si="68"/>
        <v>375</v>
      </c>
      <c r="B377" s="422" t="s">
        <v>469</v>
      </c>
      <c r="C377" s="393" t="s">
        <v>837</v>
      </c>
      <c r="D377" s="393">
        <v>4914</v>
      </c>
      <c r="E377" s="393">
        <v>6119</v>
      </c>
      <c r="F377" s="402"/>
      <c r="G377" s="394" t="s">
        <v>845</v>
      </c>
      <c r="H377" s="393"/>
      <c r="I377" s="393"/>
      <c r="J377" s="420"/>
      <c r="K377" s="420"/>
      <c r="L377" s="420">
        <v>93477</v>
      </c>
      <c r="M377" s="421">
        <v>6400</v>
      </c>
      <c r="N377" s="421">
        <v>1000</v>
      </c>
      <c r="O377" s="420">
        <v>94</v>
      </c>
      <c r="P377" s="399">
        <f t="shared" si="69"/>
        <v>9.4E-2</v>
      </c>
      <c r="Q377" s="421">
        <v>8400</v>
      </c>
      <c r="R377" s="400">
        <v>12000</v>
      </c>
      <c r="S377" s="401">
        <v>12000</v>
      </c>
      <c r="T377" s="402" t="s">
        <v>471</v>
      </c>
      <c r="U377" s="454"/>
      <c r="V377" s="404">
        <f t="shared" si="77"/>
        <v>-126877</v>
      </c>
      <c r="W377" s="405" t="str">
        <f>IF(AND(P377&lt;[3]koment!$F$1,N377&gt;=[3]koment!$F$2),"Komentovat","")</f>
        <v>Komentovat</v>
      </c>
      <c r="X377" s="406">
        <f t="shared" si="73"/>
        <v>41</v>
      </c>
      <c r="Y377" s="404">
        <f t="shared" si="78"/>
        <v>4100</v>
      </c>
      <c r="Z377" s="407" t="str">
        <f t="shared" si="79"/>
        <v>ORG 4914 - Projektové práce pro OÚPR</v>
      </c>
      <c r="AA377" s="408" t="str">
        <f t="shared" si="80"/>
        <v>4100363949146119</v>
      </c>
      <c r="AB377" s="388"/>
      <c r="AC377" s="409">
        <f t="shared" si="74"/>
        <v>-126877</v>
      </c>
      <c r="AD377" s="388"/>
      <c r="AE377" s="388"/>
      <c r="AF377" s="388"/>
    </row>
    <row r="378" spans="1:32" outlineLevel="2" x14ac:dyDescent="0.2">
      <c r="A378" s="391">
        <f t="shared" si="68"/>
        <v>376</v>
      </c>
      <c r="B378" s="422" t="s">
        <v>833</v>
      </c>
      <c r="C378" s="393" t="s">
        <v>837</v>
      </c>
      <c r="D378" s="393">
        <v>4988</v>
      </c>
      <c r="E378" s="393">
        <v>6130</v>
      </c>
      <c r="F378" s="402"/>
      <c r="G378" s="394" t="s">
        <v>846</v>
      </c>
      <c r="H378" s="393"/>
      <c r="I378" s="393"/>
      <c r="J378" s="420"/>
      <c r="K378" s="420"/>
      <c r="L378" s="420">
        <v>60</v>
      </c>
      <c r="M378" s="421">
        <v>1500</v>
      </c>
      <c r="N378" s="421">
        <v>0</v>
      </c>
      <c r="O378" s="420"/>
      <c r="P378" s="399" t="str">
        <f t="shared" si="69"/>
        <v xml:space="preserve"> </v>
      </c>
      <c r="Q378" s="421">
        <v>1500</v>
      </c>
      <c r="R378" s="400"/>
      <c r="S378" s="401"/>
      <c r="T378" s="402" t="s">
        <v>835</v>
      </c>
      <c r="U378" s="454"/>
      <c r="V378" s="404">
        <f t="shared" si="77"/>
        <v>-1560</v>
      </c>
      <c r="W378" s="405" t="str">
        <f>IF(AND(P378&lt;[3]koment!$F$1,N378&gt;=[3]koment!$F$2),"Komentovat","")</f>
        <v/>
      </c>
      <c r="X378" s="406">
        <f t="shared" si="73"/>
        <v>41</v>
      </c>
      <c r="Y378" s="404">
        <f t="shared" si="78"/>
        <v>4300</v>
      </c>
      <c r="Z378" s="407" t="str">
        <f t="shared" si="79"/>
        <v>ORG 4988 - Výkupy pozemků pro OVLHZ</v>
      </c>
      <c r="AA378" s="408" t="str">
        <f t="shared" si="80"/>
        <v>4300363949886130</v>
      </c>
      <c r="AB378" s="388"/>
      <c r="AC378" s="409">
        <f t="shared" si="74"/>
        <v>-1560</v>
      </c>
      <c r="AD378" s="388"/>
      <c r="AE378" s="388"/>
      <c r="AF378" s="388"/>
    </row>
    <row r="379" spans="1:32" outlineLevel="2" x14ac:dyDescent="0.2">
      <c r="A379" s="391">
        <f t="shared" si="68"/>
        <v>377</v>
      </c>
      <c r="B379" s="422" t="s">
        <v>668</v>
      </c>
      <c r="C379" s="393" t="s">
        <v>837</v>
      </c>
      <c r="D379" s="393">
        <v>5099</v>
      </c>
      <c r="E379" s="393">
        <v>6121</v>
      </c>
      <c r="F379" s="427" t="s">
        <v>490</v>
      </c>
      <c r="G379" s="394" t="s">
        <v>847</v>
      </c>
      <c r="H379" s="393"/>
      <c r="I379" s="393"/>
      <c r="J379" s="420"/>
      <c r="K379" s="420"/>
      <c r="L379" s="420">
        <v>0</v>
      </c>
      <c r="M379" s="421">
        <v>149150</v>
      </c>
      <c r="N379" s="421">
        <v>8409</v>
      </c>
      <c r="O379" s="420"/>
      <c r="P379" s="399">
        <f t="shared" si="69"/>
        <v>0</v>
      </c>
      <c r="Q379" s="421">
        <v>49934</v>
      </c>
      <c r="R379" s="400"/>
      <c r="S379" s="401"/>
      <c r="T379" s="402" t="s">
        <v>669</v>
      </c>
      <c r="U379" s="454"/>
      <c r="V379" s="404">
        <f t="shared" si="77"/>
        <v>-58343</v>
      </c>
      <c r="W379" s="405" t="str">
        <f>IF(AND(P379&lt;[3]koment!$F$1,N379&gt;=[3]koment!$F$2),"Komentovat","")</f>
        <v>Komentovat</v>
      </c>
      <c r="X379" s="406">
        <f t="shared" si="73"/>
        <v>42</v>
      </c>
      <c r="Y379" s="404">
        <f t="shared" si="78"/>
        <v>5900</v>
      </c>
      <c r="Z379" s="407" t="str">
        <f t="shared" si="79"/>
        <v>ORG 5099 - Příprava strategických projektů pro nové programovací období</v>
      </c>
      <c r="AA379" s="408" t="str">
        <f t="shared" si="80"/>
        <v>5900363950996121EU</v>
      </c>
      <c r="AB379" s="388"/>
      <c r="AC379" s="409">
        <f t="shared" si="74"/>
        <v>-58343</v>
      </c>
      <c r="AD379" s="388"/>
      <c r="AE379" s="388"/>
      <c r="AF379" s="388"/>
    </row>
    <row r="380" spans="1:32" outlineLevel="2" x14ac:dyDescent="0.2">
      <c r="A380" s="391">
        <f t="shared" si="68"/>
        <v>378</v>
      </c>
      <c r="B380" s="392" t="s">
        <v>187</v>
      </c>
      <c r="C380" s="393" t="s">
        <v>837</v>
      </c>
      <c r="D380" s="394">
        <v>5315</v>
      </c>
      <c r="E380" s="393">
        <v>6121</v>
      </c>
      <c r="F380" s="427" t="s">
        <v>490</v>
      </c>
      <c r="G380" s="394" t="s">
        <v>848</v>
      </c>
      <c r="H380" s="394">
        <v>2016</v>
      </c>
      <c r="I380" s="394">
        <v>2017</v>
      </c>
      <c r="J380" s="396">
        <v>2000</v>
      </c>
      <c r="K380" s="396"/>
      <c r="L380" s="397"/>
      <c r="M380" s="398"/>
      <c r="N380" s="398">
        <v>500</v>
      </c>
      <c r="O380" s="396">
        <v>113</v>
      </c>
      <c r="P380" s="399">
        <f t="shared" si="69"/>
        <v>0.22600000000000001</v>
      </c>
      <c r="Q380" s="398">
        <v>1500</v>
      </c>
      <c r="R380" s="400"/>
      <c r="S380" s="401"/>
      <c r="T380" s="402" t="s">
        <v>678</v>
      </c>
      <c r="U380" s="454"/>
      <c r="V380" s="404">
        <f t="shared" si="77"/>
        <v>0</v>
      </c>
      <c r="W380" s="405" t="str">
        <f>IF(AND(P380&lt;[3]koment!$F$1,N380&gt;=[3]koment!$F$2),"Komentovat","")</f>
        <v/>
      </c>
      <c r="X380" s="406">
        <f t="shared" si="73"/>
        <v>42</v>
      </c>
      <c r="Y380" s="404" t="str">
        <f t="shared" si="78"/>
        <v xml:space="preserve"> </v>
      </c>
      <c r="Z380" s="407">
        <f t="shared" si="79"/>
        <v>0</v>
      </c>
      <c r="AA380" s="408" t="str">
        <f t="shared" si="80"/>
        <v>6600363953156121EU</v>
      </c>
      <c r="AB380" s="388"/>
      <c r="AC380" s="409">
        <f t="shared" si="74"/>
        <v>0</v>
      </c>
      <c r="AD380" s="388"/>
      <c r="AE380" s="388"/>
      <c r="AF380" s="388"/>
    </row>
    <row r="381" spans="1:32" outlineLevel="1" x14ac:dyDescent="0.2">
      <c r="A381" s="391">
        <f t="shared" si="68"/>
        <v>379</v>
      </c>
      <c r="B381" s="392"/>
      <c r="C381" s="424" t="s">
        <v>849</v>
      </c>
      <c r="D381" s="394"/>
      <c r="E381" s="393"/>
      <c r="F381" s="427"/>
      <c r="G381" s="394"/>
      <c r="H381" s="394"/>
      <c r="I381" s="394"/>
      <c r="J381" s="396">
        <f t="shared" ref="J381:O381" si="85">SUBTOTAL(9,J370:J380)</f>
        <v>69844</v>
      </c>
      <c r="K381" s="396">
        <f t="shared" si="85"/>
        <v>0</v>
      </c>
      <c r="L381" s="397">
        <f t="shared" si="85"/>
        <v>416152</v>
      </c>
      <c r="M381" s="398">
        <f t="shared" si="85"/>
        <v>256905</v>
      </c>
      <c r="N381" s="398">
        <f t="shared" si="85"/>
        <v>130779</v>
      </c>
      <c r="O381" s="396">
        <f t="shared" si="85"/>
        <v>117203</v>
      </c>
      <c r="P381" s="399">
        <f t="shared" si="69"/>
        <v>0.89619128453344954</v>
      </c>
      <c r="Q381" s="398">
        <f>SUBTOTAL(9,Q370:Q380)</f>
        <v>182953</v>
      </c>
      <c r="R381" s="400">
        <f>SUBTOTAL(9,R370:R380)</f>
        <v>12000</v>
      </c>
      <c r="S381" s="401">
        <f>SUBTOTAL(9,S370:S380)</f>
        <v>12000</v>
      </c>
      <c r="T381" s="402"/>
      <c r="U381" s="454"/>
      <c r="V381" s="404"/>
      <c r="W381" s="405"/>
      <c r="X381" s="406"/>
      <c r="Y381" s="404" t="str">
        <f>IF($V381=0," ",IF(LEN($B381)=4,$B381*1,$B381))</f>
        <v xml:space="preserve"> </v>
      </c>
      <c r="Z381" s="407">
        <f>IF($Y381=" ",0,"ORG "&amp;$D381&amp;" - "&amp;$G381)</f>
        <v>0</v>
      </c>
      <c r="AA381" s="408" t="str">
        <f>$B381&amp;LEFT($C381,4)&amp;$D381&amp;$E381&amp;$F381</f>
        <v>Celk</v>
      </c>
      <c r="AB381" s="388"/>
      <c r="AC381" s="409"/>
      <c r="AD381" s="388"/>
      <c r="AE381" s="388"/>
      <c r="AF381" s="388"/>
    </row>
    <row r="382" spans="1:32" outlineLevel="2" x14ac:dyDescent="0.2">
      <c r="A382" s="391">
        <f t="shared" si="68"/>
        <v>380</v>
      </c>
      <c r="B382" s="392" t="s">
        <v>420</v>
      </c>
      <c r="C382" s="393" t="s">
        <v>850</v>
      </c>
      <c r="D382" s="394">
        <v>2702</v>
      </c>
      <c r="E382" s="393">
        <v>6121</v>
      </c>
      <c r="F382" s="395"/>
      <c r="G382" s="426" t="s">
        <v>851</v>
      </c>
      <c r="H382" s="394">
        <v>2016</v>
      </c>
      <c r="I382" s="394">
        <v>2018</v>
      </c>
      <c r="J382" s="396">
        <v>500</v>
      </c>
      <c r="K382" s="396"/>
      <c r="L382" s="397"/>
      <c r="M382" s="398">
        <v>500</v>
      </c>
      <c r="N382" s="398">
        <v>5</v>
      </c>
      <c r="O382" s="396"/>
      <c r="P382" s="399">
        <f t="shared" si="69"/>
        <v>0</v>
      </c>
      <c r="Q382" s="398">
        <v>495</v>
      </c>
      <c r="R382" s="400"/>
      <c r="S382" s="401"/>
      <c r="T382" s="402" t="s">
        <v>423</v>
      </c>
      <c r="U382" s="454"/>
      <c r="V382" s="404">
        <f t="shared" si="77"/>
        <v>0</v>
      </c>
      <c r="W382" s="405" t="str">
        <f>IF(AND(P382&lt;[3]koment!$F$1,N382&gt;=[3]koment!$F$2),"Komentovat","")</f>
        <v/>
      </c>
      <c r="X382" s="406">
        <f>IF(W382="Komentovat",X380+1,X380)</f>
        <v>42</v>
      </c>
      <c r="Y382" s="404" t="str">
        <f t="shared" si="78"/>
        <v xml:space="preserve"> </v>
      </c>
      <c r="Z382" s="407">
        <f t="shared" si="79"/>
        <v>0</v>
      </c>
      <c r="AA382" s="408" t="str">
        <f t="shared" si="80"/>
        <v>5600372527026121</v>
      </c>
      <c r="AB382" s="388"/>
      <c r="AC382" s="409">
        <f t="shared" si="74"/>
        <v>0</v>
      </c>
      <c r="AD382" s="388"/>
      <c r="AE382" s="388"/>
      <c r="AF382" s="388"/>
    </row>
    <row r="383" spans="1:32" outlineLevel="2" x14ac:dyDescent="0.2">
      <c r="A383" s="391">
        <f t="shared" si="68"/>
        <v>381</v>
      </c>
      <c r="B383" s="422" t="s">
        <v>420</v>
      </c>
      <c r="C383" s="393" t="s">
        <v>850</v>
      </c>
      <c r="D383" s="393">
        <v>2899</v>
      </c>
      <c r="E383" s="393">
        <v>6121</v>
      </c>
      <c r="F383" s="402"/>
      <c r="G383" s="394" t="s">
        <v>852</v>
      </c>
      <c r="H383" s="393">
        <v>2013</v>
      </c>
      <c r="I383" s="393">
        <v>2017</v>
      </c>
      <c r="J383" s="420">
        <v>1500</v>
      </c>
      <c r="K383" s="420"/>
      <c r="L383" s="420">
        <v>279</v>
      </c>
      <c r="M383" s="421">
        <v>1220</v>
      </c>
      <c r="N383" s="421">
        <v>0</v>
      </c>
      <c r="O383" s="420">
        <v>0</v>
      </c>
      <c r="P383" s="399" t="str">
        <f t="shared" si="69"/>
        <v xml:space="preserve"> </v>
      </c>
      <c r="Q383" s="421">
        <v>1220</v>
      </c>
      <c r="R383" s="400"/>
      <c r="S383" s="401"/>
      <c r="T383" s="402" t="s">
        <v>423</v>
      </c>
      <c r="U383" s="454"/>
      <c r="V383" s="404">
        <f t="shared" si="77"/>
        <v>1</v>
      </c>
      <c r="W383" s="405" t="str">
        <f>IF(AND(P383&lt;[3]koment!$F$1,N383&gt;=[3]koment!$F$2),"Komentovat","")</f>
        <v/>
      </c>
      <c r="X383" s="406">
        <f t="shared" si="73"/>
        <v>42</v>
      </c>
      <c r="Y383" s="404">
        <f t="shared" si="78"/>
        <v>5600</v>
      </c>
      <c r="Z383" s="407" t="str">
        <f t="shared" si="79"/>
        <v>ORG 2899 - Sběrné středisko odpadů Slaměníkova</v>
      </c>
      <c r="AA383" s="408" t="str">
        <f t="shared" si="80"/>
        <v>5600372528996121</v>
      </c>
      <c r="AB383" s="388"/>
      <c r="AC383" s="409">
        <f t="shared" si="74"/>
        <v>1</v>
      </c>
      <c r="AD383" s="388"/>
      <c r="AE383" s="388"/>
      <c r="AF383" s="388"/>
    </row>
    <row r="384" spans="1:32" outlineLevel="2" x14ac:dyDescent="0.2">
      <c r="A384" s="391">
        <f t="shared" si="68"/>
        <v>382</v>
      </c>
      <c r="B384" s="419" t="s">
        <v>820</v>
      </c>
      <c r="C384" s="393" t="s">
        <v>850</v>
      </c>
      <c r="D384" s="393">
        <v>2901</v>
      </c>
      <c r="E384" s="393">
        <v>6121</v>
      </c>
      <c r="F384" s="427"/>
      <c r="G384" s="394" t="s">
        <v>853</v>
      </c>
      <c r="H384" s="393">
        <v>2012</v>
      </c>
      <c r="I384" s="393">
        <v>2016</v>
      </c>
      <c r="J384" s="420">
        <v>15089</v>
      </c>
      <c r="K384" s="420"/>
      <c r="L384" s="420">
        <v>11873</v>
      </c>
      <c r="M384" s="421">
        <v>3216</v>
      </c>
      <c r="N384" s="421">
        <v>3216</v>
      </c>
      <c r="O384" s="420">
        <v>3216</v>
      </c>
      <c r="P384" s="399">
        <f t="shared" si="69"/>
        <v>1</v>
      </c>
      <c r="Q384" s="421"/>
      <c r="R384" s="400"/>
      <c r="S384" s="401"/>
      <c r="T384" s="402" t="s">
        <v>854</v>
      </c>
      <c r="U384" s="454"/>
      <c r="V384" s="404">
        <f t="shared" si="77"/>
        <v>0</v>
      </c>
      <c r="W384" s="405" t="str">
        <f>IF(AND(P384&lt;[3]koment!$F$1,N384&gt;=[3]koment!$F$2),"Komentovat","")</f>
        <v/>
      </c>
      <c r="X384" s="406">
        <f t="shared" si="73"/>
        <v>42</v>
      </c>
      <c r="Y384" s="404" t="str">
        <f t="shared" si="78"/>
        <v xml:space="preserve"> </v>
      </c>
      <c r="Z384" s="407">
        <f t="shared" si="79"/>
        <v>0</v>
      </c>
      <c r="AA384" s="408" t="str">
        <f t="shared" si="80"/>
        <v>4200372529016121</v>
      </c>
      <c r="AB384" s="388"/>
      <c r="AC384" s="409">
        <f t="shared" si="74"/>
        <v>0</v>
      </c>
      <c r="AD384" s="388"/>
      <c r="AE384" s="388"/>
      <c r="AF384" s="388"/>
    </row>
    <row r="385" spans="1:32" outlineLevel="2" x14ac:dyDescent="0.2">
      <c r="A385" s="391">
        <f t="shared" si="68"/>
        <v>383</v>
      </c>
      <c r="B385" s="419" t="s">
        <v>820</v>
      </c>
      <c r="C385" s="393" t="s">
        <v>850</v>
      </c>
      <c r="D385" s="393">
        <v>2920</v>
      </c>
      <c r="E385" s="393">
        <v>6121</v>
      </c>
      <c r="F385" s="427"/>
      <c r="G385" s="394" t="s">
        <v>855</v>
      </c>
      <c r="H385" s="393"/>
      <c r="I385" s="393"/>
      <c r="J385" s="420"/>
      <c r="K385" s="420"/>
      <c r="L385" s="420">
        <v>2001</v>
      </c>
      <c r="M385" s="421">
        <v>642</v>
      </c>
      <c r="N385" s="421">
        <v>642</v>
      </c>
      <c r="O385" s="420">
        <v>642</v>
      </c>
      <c r="P385" s="399">
        <f t="shared" si="69"/>
        <v>1</v>
      </c>
      <c r="Q385" s="421"/>
      <c r="R385" s="400"/>
      <c r="S385" s="401"/>
      <c r="T385" s="402" t="s">
        <v>854</v>
      </c>
      <c r="U385" s="454"/>
      <c r="V385" s="404">
        <f t="shared" si="77"/>
        <v>-2643</v>
      </c>
      <c r="W385" s="405" t="str">
        <f>IF(AND(P385&lt;[3]koment!$F$1,N385&gt;=[3]koment!$F$2),"Komentovat","")</f>
        <v/>
      </c>
      <c r="X385" s="406">
        <f t="shared" si="73"/>
        <v>42</v>
      </c>
      <c r="Y385" s="404">
        <f t="shared" si="78"/>
        <v>4200</v>
      </c>
      <c r="Z385" s="407" t="str">
        <f t="shared" si="79"/>
        <v>ORG 2920 - Nezdrojová DPH - OŽP</v>
      </c>
      <c r="AA385" s="408" t="str">
        <f t="shared" si="80"/>
        <v>4200372529206121</v>
      </c>
      <c r="AB385" s="388"/>
      <c r="AC385" s="409">
        <f t="shared" si="74"/>
        <v>-2643</v>
      </c>
      <c r="AD385" s="388"/>
      <c r="AE385" s="388"/>
      <c r="AF385" s="388"/>
    </row>
    <row r="386" spans="1:32" outlineLevel="1" x14ac:dyDescent="0.2">
      <c r="A386" s="391">
        <f t="shared" si="68"/>
        <v>384</v>
      </c>
      <c r="B386" s="419"/>
      <c r="C386" s="424" t="s">
        <v>856</v>
      </c>
      <c r="D386" s="393"/>
      <c r="E386" s="393"/>
      <c r="F386" s="427"/>
      <c r="G386" s="394"/>
      <c r="H386" s="393"/>
      <c r="I386" s="393"/>
      <c r="J386" s="420">
        <f t="shared" ref="J386:O386" si="86">SUBTOTAL(9,J382:J385)</f>
        <v>17089</v>
      </c>
      <c r="K386" s="420">
        <f t="shared" si="86"/>
        <v>0</v>
      </c>
      <c r="L386" s="420">
        <f t="shared" si="86"/>
        <v>14153</v>
      </c>
      <c r="M386" s="421">
        <f t="shared" si="86"/>
        <v>5578</v>
      </c>
      <c r="N386" s="421">
        <f t="shared" si="86"/>
        <v>3863</v>
      </c>
      <c r="O386" s="420">
        <f t="shared" si="86"/>
        <v>3858</v>
      </c>
      <c r="P386" s="399">
        <f t="shared" si="69"/>
        <v>0.99870566916903958</v>
      </c>
      <c r="Q386" s="421">
        <f>SUBTOTAL(9,Q382:Q385)</f>
        <v>1715</v>
      </c>
      <c r="R386" s="400">
        <f>SUBTOTAL(9,R382:R385)</f>
        <v>0</v>
      </c>
      <c r="S386" s="401">
        <f>SUBTOTAL(9,S382:S385)</f>
        <v>0</v>
      </c>
      <c r="T386" s="402"/>
      <c r="U386" s="454"/>
      <c r="V386" s="404"/>
      <c r="W386" s="405"/>
      <c r="X386" s="406"/>
      <c r="Y386" s="404" t="str">
        <f>IF($V386=0," ",IF(LEN($B386)=4,$B386*1,$B386))</f>
        <v xml:space="preserve"> </v>
      </c>
      <c r="Z386" s="407">
        <f>IF($Y386=" ",0,"ORG "&amp;$D386&amp;" - "&amp;$G386)</f>
        <v>0</v>
      </c>
      <c r="AA386" s="408" t="str">
        <f>$B386&amp;LEFT($C386,4)&amp;$D386&amp;$E386&amp;$F386</f>
        <v>Celk</v>
      </c>
      <c r="AB386" s="388"/>
      <c r="AC386" s="409"/>
      <c r="AD386" s="388"/>
      <c r="AE386" s="388"/>
      <c r="AF386" s="388"/>
    </row>
    <row r="387" spans="1:32" outlineLevel="2" x14ac:dyDescent="0.2">
      <c r="A387" s="391">
        <f t="shared" si="68"/>
        <v>385</v>
      </c>
      <c r="B387" s="422" t="s">
        <v>420</v>
      </c>
      <c r="C387" s="393" t="s">
        <v>857</v>
      </c>
      <c r="D387" s="393">
        <v>2763</v>
      </c>
      <c r="E387" s="393">
        <v>6351</v>
      </c>
      <c r="F387" s="402"/>
      <c r="G387" s="426" t="s">
        <v>858</v>
      </c>
      <c r="H387" s="423">
        <v>2016</v>
      </c>
      <c r="I387" s="393">
        <v>2017</v>
      </c>
      <c r="J387" s="420">
        <v>21500</v>
      </c>
      <c r="K387" s="420"/>
      <c r="L387" s="420"/>
      <c r="M387" s="421">
        <v>1000</v>
      </c>
      <c r="N387" s="421">
        <v>11000</v>
      </c>
      <c r="O387" s="420">
        <v>11000</v>
      </c>
      <c r="P387" s="399">
        <f t="shared" si="69"/>
        <v>1</v>
      </c>
      <c r="Q387" s="421">
        <v>10500</v>
      </c>
      <c r="R387" s="400"/>
      <c r="S387" s="401"/>
      <c r="T387" s="402" t="s">
        <v>859</v>
      </c>
      <c r="U387" s="454"/>
      <c r="V387" s="404">
        <f t="shared" si="77"/>
        <v>0</v>
      </c>
      <c r="W387" s="405" t="str">
        <f>IF(AND(P387&lt;[3]koment!$F$1,N387&gt;=[3]koment!$F$2),"Komentovat","")</f>
        <v/>
      </c>
      <c r="X387" s="406">
        <f>IF(W387="Komentovat",X385+1,X385)</f>
        <v>42</v>
      </c>
      <c r="Y387" s="404" t="str">
        <f t="shared" si="78"/>
        <v xml:space="preserve"> </v>
      </c>
      <c r="Z387" s="407">
        <f t="shared" si="79"/>
        <v>0</v>
      </c>
      <c r="AA387" s="408" t="str">
        <f t="shared" si="80"/>
        <v>5600374127636351</v>
      </c>
      <c r="AB387" s="388"/>
      <c r="AC387" s="409">
        <f t="shared" si="74"/>
        <v>0</v>
      </c>
      <c r="AD387" s="388"/>
      <c r="AE387" s="388"/>
      <c r="AF387" s="388"/>
    </row>
    <row r="388" spans="1:32" outlineLevel="2" x14ac:dyDescent="0.2">
      <c r="A388" s="391">
        <f t="shared" ref="A388:A451" si="87">ROW()-2</f>
        <v>386</v>
      </c>
      <c r="B388" s="392" t="s">
        <v>420</v>
      </c>
      <c r="C388" s="393" t="s">
        <v>857</v>
      </c>
      <c r="D388" s="394">
        <v>2764</v>
      </c>
      <c r="E388" s="393">
        <v>6121</v>
      </c>
      <c r="F388" s="395"/>
      <c r="G388" s="426" t="s">
        <v>860</v>
      </c>
      <c r="H388" s="394">
        <v>2015</v>
      </c>
      <c r="I388" s="394">
        <v>2017</v>
      </c>
      <c r="J388" s="396">
        <v>20000</v>
      </c>
      <c r="K388" s="396"/>
      <c r="L388" s="397">
        <v>0</v>
      </c>
      <c r="M388" s="398">
        <v>19980</v>
      </c>
      <c r="N388" s="398">
        <v>10</v>
      </c>
      <c r="O388" s="396"/>
      <c r="P388" s="399">
        <f t="shared" ref="P388:P451" si="88">IF(N388&lt;=0," ",O388/N388)</f>
        <v>0</v>
      </c>
      <c r="Q388" s="398">
        <v>10000</v>
      </c>
      <c r="R388" s="400">
        <v>9900</v>
      </c>
      <c r="S388" s="401"/>
      <c r="T388" s="402" t="s">
        <v>423</v>
      </c>
      <c r="U388" s="454"/>
      <c r="V388" s="404">
        <f t="shared" si="77"/>
        <v>90</v>
      </c>
      <c r="W388" s="405" t="str">
        <f>IF(AND(P388&lt;[3]koment!$F$1,N388&gt;=[3]koment!$F$2),"Komentovat","")</f>
        <v/>
      </c>
      <c r="X388" s="406">
        <f t="shared" si="73"/>
        <v>42</v>
      </c>
      <c r="Y388" s="404">
        <f t="shared" si="78"/>
        <v>5600</v>
      </c>
      <c r="Z388" s="407" t="str">
        <f t="shared" si="79"/>
        <v>ORG 2764 - ZOO - šimpanzi - II. etapa</v>
      </c>
      <c r="AA388" s="408" t="str">
        <f t="shared" si="80"/>
        <v>5600374127646121</v>
      </c>
      <c r="AB388" s="388"/>
      <c r="AC388" s="409">
        <f t="shared" si="74"/>
        <v>90</v>
      </c>
      <c r="AD388" s="388"/>
      <c r="AE388" s="388"/>
      <c r="AF388" s="388"/>
    </row>
    <row r="389" spans="1:32" outlineLevel="2" x14ac:dyDescent="0.2">
      <c r="A389" s="391">
        <f t="shared" si="87"/>
        <v>387</v>
      </c>
      <c r="B389" s="392" t="s">
        <v>420</v>
      </c>
      <c r="C389" s="393" t="s">
        <v>857</v>
      </c>
      <c r="D389" s="394">
        <v>3119</v>
      </c>
      <c r="E389" s="393">
        <v>6121</v>
      </c>
      <c r="F389" s="395"/>
      <c r="G389" s="394" t="s">
        <v>861</v>
      </c>
      <c r="H389" s="394">
        <v>2015</v>
      </c>
      <c r="I389" s="394">
        <v>2019</v>
      </c>
      <c r="J389" s="396">
        <f>1525+2445</f>
        <v>3970</v>
      </c>
      <c r="K389" s="396"/>
      <c r="L389" s="397"/>
      <c r="M389" s="398"/>
      <c r="N389" s="398">
        <v>500</v>
      </c>
      <c r="O389" s="396">
        <v>17</v>
      </c>
      <c r="P389" s="399">
        <f t="shared" si="88"/>
        <v>3.4000000000000002E-2</v>
      </c>
      <c r="Q389" s="398">
        <v>2470</v>
      </c>
      <c r="R389" s="400"/>
      <c r="S389" s="401"/>
      <c r="T389" s="402" t="s">
        <v>423</v>
      </c>
      <c r="U389" s="454"/>
      <c r="V389" s="404">
        <f t="shared" si="77"/>
        <v>1000</v>
      </c>
      <c r="W389" s="405" t="str">
        <f>IF(AND(P389&lt;[3]koment!$F$1,N389&gt;=[3]koment!$F$2),"Komentovat","")</f>
        <v/>
      </c>
      <c r="X389" s="406">
        <f t="shared" si="73"/>
        <v>42</v>
      </c>
      <c r="Y389" s="404">
        <f t="shared" si="78"/>
        <v>5600</v>
      </c>
      <c r="Z389" s="407" t="str">
        <f t="shared" si="79"/>
        <v>ORG 3119 - Dobudování opatření pro migraci obojživelníků v oblasti PP Žebětínský rybník, III. etapa</v>
      </c>
      <c r="AA389" s="408" t="str">
        <f t="shared" si="80"/>
        <v>5600374131196121</v>
      </c>
      <c r="AB389" s="388"/>
      <c r="AC389" s="409">
        <f t="shared" si="74"/>
        <v>1000</v>
      </c>
      <c r="AD389" s="388"/>
      <c r="AE389" s="388"/>
      <c r="AF389" s="388"/>
    </row>
    <row r="390" spans="1:32" outlineLevel="2" x14ac:dyDescent="0.2">
      <c r="A390" s="391">
        <f t="shared" si="87"/>
        <v>388</v>
      </c>
      <c r="B390" s="392" t="s">
        <v>420</v>
      </c>
      <c r="C390" s="393" t="s">
        <v>857</v>
      </c>
      <c r="D390" s="394">
        <v>3256</v>
      </c>
      <c r="E390" s="393">
        <v>6351</v>
      </c>
      <c r="F390" s="395"/>
      <c r="G390" s="394" t="s">
        <v>862</v>
      </c>
      <c r="H390" s="394">
        <v>2006</v>
      </c>
      <c r="I390" s="394">
        <v>2017</v>
      </c>
      <c r="J390" s="396">
        <v>52000</v>
      </c>
      <c r="K390" s="396"/>
      <c r="L390" s="397">
        <v>39359</v>
      </c>
      <c r="M390" s="398"/>
      <c r="N390" s="398">
        <v>3000</v>
      </c>
      <c r="O390" s="396">
        <v>3000</v>
      </c>
      <c r="P390" s="399">
        <f t="shared" si="88"/>
        <v>1</v>
      </c>
      <c r="Q390" s="398">
        <v>4500</v>
      </c>
      <c r="R390" s="400"/>
      <c r="S390" s="401"/>
      <c r="T390" s="402" t="s">
        <v>859</v>
      </c>
      <c r="U390" s="454"/>
      <c r="V390" s="404">
        <f t="shared" si="77"/>
        <v>5141</v>
      </c>
      <c r="W390" s="405" t="str">
        <f>IF(AND(P390&lt;[3]koment!$F$1,N390&gt;=[3]koment!$F$2),"Komentovat","")</f>
        <v/>
      </c>
      <c r="X390" s="406">
        <f t="shared" si="73"/>
        <v>42</v>
      </c>
      <c r="Y390" s="404">
        <f t="shared" si="78"/>
        <v>5600</v>
      </c>
      <c r="Z390" s="407" t="str">
        <f t="shared" si="79"/>
        <v>ORG 3256 - Strategie rozvoje ZOO - transfer na investice</v>
      </c>
      <c r="AA390" s="408" t="str">
        <f t="shared" si="80"/>
        <v>5600374132566351</v>
      </c>
      <c r="AB390" s="388"/>
      <c r="AC390" s="409">
        <f t="shared" si="74"/>
        <v>5141</v>
      </c>
      <c r="AD390" s="388"/>
      <c r="AE390" s="388"/>
      <c r="AF390" s="388"/>
    </row>
    <row r="391" spans="1:32" outlineLevel="2" x14ac:dyDescent="0.2">
      <c r="A391" s="391">
        <f t="shared" si="87"/>
        <v>389</v>
      </c>
      <c r="B391" s="419" t="s">
        <v>820</v>
      </c>
      <c r="C391" s="393" t="s">
        <v>857</v>
      </c>
      <c r="D391" s="393">
        <v>300199</v>
      </c>
      <c r="E391" s="393">
        <v>6321</v>
      </c>
      <c r="F391" s="427"/>
      <c r="G391" s="426" t="s">
        <v>863</v>
      </c>
      <c r="H391" s="393"/>
      <c r="I391" s="393"/>
      <c r="J391" s="420"/>
      <c r="K391" s="420"/>
      <c r="L391" s="420"/>
      <c r="M391" s="421">
        <v>200</v>
      </c>
      <c r="N391" s="421">
        <v>200</v>
      </c>
      <c r="O391" s="420">
        <v>200</v>
      </c>
      <c r="P391" s="399">
        <f t="shared" si="88"/>
        <v>1</v>
      </c>
      <c r="Q391" s="421">
        <v>200</v>
      </c>
      <c r="R391" s="400"/>
      <c r="S391" s="401"/>
      <c r="T391" s="402" t="s">
        <v>854</v>
      </c>
      <c r="U391" s="454"/>
      <c r="V391" s="404">
        <f t="shared" si="77"/>
        <v>0</v>
      </c>
      <c r="W391" s="405" t="str">
        <f>IF(AND(P391&lt;[3]koment!$F$1,N391&gt;=[3]koment!$F$2),"Komentovat","")</f>
        <v/>
      </c>
      <c r="X391" s="406">
        <f t="shared" si="73"/>
        <v>42</v>
      </c>
      <c r="Y391" s="404" t="str">
        <f t="shared" si="78"/>
        <v xml:space="preserve"> </v>
      </c>
      <c r="Z391" s="407">
        <f t="shared" si="79"/>
        <v>0</v>
      </c>
      <c r="AA391" s="408" t="str">
        <f t="shared" si="80"/>
        <v>420037413001996321</v>
      </c>
      <c r="AB391" s="388"/>
      <c r="AC391" s="409">
        <f t="shared" si="74"/>
        <v>0</v>
      </c>
      <c r="AD391" s="388"/>
      <c r="AE391" s="388"/>
      <c r="AF391" s="388"/>
    </row>
    <row r="392" spans="1:32" outlineLevel="2" x14ac:dyDescent="0.2">
      <c r="A392" s="391">
        <f t="shared" si="87"/>
        <v>390</v>
      </c>
      <c r="B392" s="419" t="s">
        <v>820</v>
      </c>
      <c r="C392" s="393" t="s">
        <v>857</v>
      </c>
      <c r="D392" s="461">
        <v>30019102</v>
      </c>
      <c r="E392" s="393">
        <v>6351</v>
      </c>
      <c r="F392" s="427"/>
      <c r="G392" s="394" t="s">
        <v>864</v>
      </c>
      <c r="H392" s="393"/>
      <c r="I392" s="393"/>
      <c r="J392" s="420"/>
      <c r="K392" s="420"/>
      <c r="L392" s="420">
        <v>7300</v>
      </c>
      <c r="M392" s="421">
        <v>500</v>
      </c>
      <c r="N392" s="421">
        <v>500</v>
      </c>
      <c r="O392" s="420">
        <v>500</v>
      </c>
      <c r="P392" s="399">
        <f t="shared" si="88"/>
        <v>1</v>
      </c>
      <c r="Q392" s="421">
        <v>700</v>
      </c>
      <c r="R392" s="400"/>
      <c r="S392" s="401"/>
      <c r="T392" s="402" t="s">
        <v>859</v>
      </c>
      <c r="U392" s="454"/>
      <c r="V392" s="404">
        <f t="shared" si="77"/>
        <v>0</v>
      </c>
      <c r="W392" s="405" t="str">
        <f>IF(AND(P392&lt;[3]koment!$F$1,N392&gt;=[3]koment!$F$2),"Komentovat","")</f>
        <v/>
      </c>
      <c r="X392" s="406">
        <f t="shared" si="73"/>
        <v>42</v>
      </c>
      <c r="Y392" s="404" t="str">
        <f t="shared" si="78"/>
        <v xml:space="preserve"> </v>
      </c>
      <c r="Z392" s="407">
        <f t="shared" si="79"/>
        <v>0</v>
      </c>
      <c r="AA392" s="408" t="str">
        <f t="shared" si="80"/>
        <v>42003741300191026351</v>
      </c>
      <c r="AB392" s="388"/>
      <c r="AC392" s="409">
        <f t="shared" si="74"/>
        <v>0</v>
      </c>
      <c r="AD392" s="388"/>
      <c r="AE392" s="388"/>
      <c r="AF392" s="388"/>
    </row>
    <row r="393" spans="1:32" outlineLevel="1" x14ac:dyDescent="0.2">
      <c r="A393" s="391">
        <f t="shared" si="87"/>
        <v>391</v>
      </c>
      <c r="B393" s="419"/>
      <c r="C393" s="424" t="s">
        <v>865</v>
      </c>
      <c r="D393" s="461"/>
      <c r="E393" s="393"/>
      <c r="F393" s="427"/>
      <c r="G393" s="394"/>
      <c r="H393" s="393"/>
      <c r="I393" s="393"/>
      <c r="J393" s="420">
        <f t="shared" ref="J393:O393" si="89">SUBTOTAL(9,J387:J392)</f>
        <v>97470</v>
      </c>
      <c r="K393" s="420">
        <f t="shared" si="89"/>
        <v>0</v>
      </c>
      <c r="L393" s="420">
        <f t="shared" si="89"/>
        <v>46659</v>
      </c>
      <c r="M393" s="421">
        <f t="shared" si="89"/>
        <v>21680</v>
      </c>
      <c r="N393" s="421">
        <f t="shared" si="89"/>
        <v>15210</v>
      </c>
      <c r="O393" s="420">
        <f t="shared" si="89"/>
        <v>14717</v>
      </c>
      <c r="P393" s="399">
        <f t="shared" si="88"/>
        <v>0.96758711374095985</v>
      </c>
      <c r="Q393" s="421">
        <f>SUBTOTAL(9,Q387:Q392)</f>
        <v>28370</v>
      </c>
      <c r="R393" s="400">
        <f>SUBTOTAL(9,R387:R392)</f>
        <v>9900</v>
      </c>
      <c r="S393" s="401">
        <f>SUBTOTAL(9,S387:S392)</f>
        <v>0</v>
      </c>
      <c r="T393" s="402"/>
      <c r="U393" s="454"/>
      <c r="V393" s="404"/>
      <c r="W393" s="405"/>
      <c r="X393" s="406"/>
      <c r="Y393" s="404" t="str">
        <f>IF($V393=0," ",IF(LEN($B393)=4,$B393*1,$B393))</f>
        <v xml:space="preserve"> </v>
      </c>
      <c r="Z393" s="407">
        <f>IF($Y393=" ",0,"ORG "&amp;$D393&amp;" - "&amp;$G393)</f>
        <v>0</v>
      </c>
      <c r="AA393" s="408" t="str">
        <f>$B393&amp;LEFT($C393,4)&amp;$D393&amp;$E393&amp;$F393</f>
        <v>Celk</v>
      </c>
      <c r="AB393" s="388"/>
      <c r="AC393" s="409"/>
      <c r="AD393" s="388"/>
      <c r="AE393" s="388"/>
      <c r="AF393" s="388"/>
    </row>
    <row r="394" spans="1:32" outlineLevel="2" x14ac:dyDescent="0.2">
      <c r="A394" s="391">
        <f t="shared" si="87"/>
        <v>392</v>
      </c>
      <c r="B394" s="392">
        <v>4300</v>
      </c>
      <c r="C394" s="393" t="s">
        <v>866</v>
      </c>
      <c r="D394" s="394">
        <v>5324</v>
      </c>
      <c r="E394" s="393">
        <v>6122</v>
      </c>
      <c r="F394" s="427" t="s">
        <v>490</v>
      </c>
      <c r="G394" s="394" t="s">
        <v>867</v>
      </c>
      <c r="H394" s="394">
        <v>2016</v>
      </c>
      <c r="I394" s="394">
        <v>2019</v>
      </c>
      <c r="J394" s="396">
        <v>10318</v>
      </c>
      <c r="K394" s="396"/>
      <c r="L394" s="397"/>
      <c r="M394" s="398"/>
      <c r="N394" s="398">
        <v>250</v>
      </c>
      <c r="O394" s="396"/>
      <c r="P394" s="399">
        <f t="shared" si="88"/>
        <v>0</v>
      </c>
      <c r="Q394" s="398">
        <v>1000</v>
      </c>
      <c r="R394" s="400"/>
      <c r="S394" s="401"/>
      <c r="T394" s="402" t="s">
        <v>835</v>
      </c>
      <c r="U394" s="454"/>
      <c r="V394" s="404">
        <f t="shared" si="77"/>
        <v>9068</v>
      </c>
      <c r="W394" s="405" t="str">
        <f>IF(AND(P394&lt;[3]koment!$F$1,N394&gt;=[3]koment!$F$2),"Komentovat","")</f>
        <v/>
      </c>
      <c r="X394" s="406">
        <f>IF(W394="Komentovat",X392+1,X392)</f>
        <v>42</v>
      </c>
      <c r="Y394" s="404">
        <f t="shared" si="78"/>
        <v>4300</v>
      </c>
      <c r="Z394" s="407" t="str">
        <f t="shared" si="79"/>
        <v>ORG 5324 - Varovný protipovodňový systém a digitální povodňové plány města Brna</v>
      </c>
      <c r="AA394" s="408" t="str">
        <f t="shared" si="80"/>
        <v>4300374453246122EU</v>
      </c>
      <c r="AB394" s="388"/>
      <c r="AC394" s="409">
        <f t="shared" si="74"/>
        <v>9068</v>
      </c>
      <c r="AD394" s="388"/>
      <c r="AE394" s="388"/>
      <c r="AF394" s="388"/>
    </row>
    <row r="395" spans="1:32" outlineLevel="1" x14ac:dyDescent="0.2">
      <c r="A395" s="391">
        <f t="shared" si="87"/>
        <v>393</v>
      </c>
      <c r="B395" s="392"/>
      <c r="C395" s="424" t="s">
        <v>868</v>
      </c>
      <c r="D395" s="394"/>
      <c r="E395" s="393"/>
      <c r="F395" s="427"/>
      <c r="G395" s="394"/>
      <c r="H395" s="394"/>
      <c r="I395" s="394"/>
      <c r="J395" s="396">
        <f t="shared" ref="J395:O395" si="90">SUBTOTAL(9,J394:J394)</f>
        <v>10318</v>
      </c>
      <c r="K395" s="396">
        <f t="shared" si="90"/>
        <v>0</v>
      </c>
      <c r="L395" s="397">
        <f t="shared" si="90"/>
        <v>0</v>
      </c>
      <c r="M395" s="398">
        <f t="shared" si="90"/>
        <v>0</v>
      </c>
      <c r="N395" s="398">
        <f t="shared" si="90"/>
        <v>250</v>
      </c>
      <c r="O395" s="396">
        <f t="shared" si="90"/>
        <v>0</v>
      </c>
      <c r="P395" s="399">
        <f t="shared" si="88"/>
        <v>0</v>
      </c>
      <c r="Q395" s="398">
        <f>SUBTOTAL(9,Q394:Q394)</f>
        <v>1000</v>
      </c>
      <c r="R395" s="400">
        <f>SUBTOTAL(9,R394:R394)</f>
        <v>0</v>
      </c>
      <c r="S395" s="401">
        <f>SUBTOTAL(9,S394:S394)</f>
        <v>0</v>
      </c>
      <c r="T395" s="402"/>
      <c r="U395" s="454"/>
      <c r="V395" s="404"/>
      <c r="W395" s="405"/>
      <c r="X395" s="406"/>
      <c r="Y395" s="404" t="str">
        <f>IF($V395=0," ",IF(LEN($B395)=4,$B395*1,$B395))</f>
        <v xml:space="preserve"> </v>
      </c>
      <c r="Z395" s="407">
        <f>IF($Y395=" ",0,"ORG "&amp;$D395&amp;" - "&amp;$G395)</f>
        <v>0</v>
      </c>
      <c r="AA395" s="408" t="str">
        <f>$B395&amp;LEFT($C395,4)&amp;$D395&amp;$E395&amp;$F395</f>
        <v>Celk</v>
      </c>
      <c r="AB395" s="388"/>
      <c r="AC395" s="409"/>
      <c r="AD395" s="388"/>
      <c r="AE395" s="388"/>
      <c r="AF395" s="388"/>
    </row>
    <row r="396" spans="1:32" outlineLevel="2" x14ac:dyDescent="0.2">
      <c r="A396" s="391">
        <f t="shared" si="87"/>
        <v>394</v>
      </c>
      <c r="B396" s="392" t="s">
        <v>420</v>
      </c>
      <c r="C396" s="393" t="s">
        <v>869</v>
      </c>
      <c r="D396" s="394">
        <v>2684</v>
      </c>
      <c r="E396" s="393">
        <v>6351</v>
      </c>
      <c r="F396" s="395"/>
      <c r="G396" s="394" t="s">
        <v>870</v>
      </c>
      <c r="H396" s="394">
        <v>2016</v>
      </c>
      <c r="I396" s="394">
        <v>2017</v>
      </c>
      <c r="J396" s="396">
        <v>3500</v>
      </c>
      <c r="K396" s="396"/>
      <c r="L396" s="397"/>
      <c r="M396" s="398"/>
      <c r="N396" s="398">
        <v>1500</v>
      </c>
      <c r="O396" s="396">
        <v>1500</v>
      </c>
      <c r="P396" s="399">
        <f t="shared" si="88"/>
        <v>1</v>
      </c>
      <c r="Q396" s="398">
        <v>2000</v>
      </c>
      <c r="R396" s="400"/>
      <c r="S396" s="401"/>
      <c r="T396" s="402" t="s">
        <v>871</v>
      </c>
      <c r="U396" s="454"/>
      <c r="V396" s="404">
        <f t="shared" si="77"/>
        <v>0</v>
      </c>
      <c r="W396" s="405" t="str">
        <f>IF(AND(P396&lt;[3]koment!$F$1,N396&gt;=[3]koment!$F$2),"Komentovat","")</f>
        <v/>
      </c>
      <c r="X396" s="406">
        <f>IF(W396="Komentovat",X394+1,X394)</f>
        <v>42</v>
      </c>
      <c r="Y396" s="404" t="str">
        <f t="shared" si="78"/>
        <v xml:space="preserve"> </v>
      </c>
      <c r="Z396" s="407">
        <f t="shared" si="79"/>
        <v>0</v>
      </c>
      <c r="AA396" s="408" t="str">
        <f t="shared" si="80"/>
        <v>5600374526846351</v>
      </c>
      <c r="AB396" s="388"/>
      <c r="AC396" s="409">
        <f t="shared" si="74"/>
        <v>0</v>
      </c>
      <c r="AD396" s="388"/>
      <c r="AE396" s="388"/>
      <c r="AF396" s="388"/>
    </row>
    <row r="397" spans="1:32" outlineLevel="2" x14ac:dyDescent="0.2">
      <c r="A397" s="391">
        <f t="shared" si="87"/>
        <v>395</v>
      </c>
      <c r="B397" s="392" t="s">
        <v>833</v>
      </c>
      <c r="C397" s="393" t="s">
        <v>869</v>
      </c>
      <c r="D397" s="394">
        <v>2688</v>
      </c>
      <c r="E397" s="393">
        <v>6121</v>
      </c>
      <c r="F397" s="395"/>
      <c r="G397" s="394" t="s">
        <v>872</v>
      </c>
      <c r="H397" s="394">
        <v>2016</v>
      </c>
      <c r="I397" s="394">
        <v>2017</v>
      </c>
      <c r="J397" s="396">
        <v>325</v>
      </c>
      <c r="K397" s="396"/>
      <c r="L397" s="397"/>
      <c r="M397" s="398"/>
      <c r="N397" s="398">
        <v>261</v>
      </c>
      <c r="O397" s="396">
        <v>260</v>
      </c>
      <c r="P397" s="399">
        <f t="shared" si="88"/>
        <v>0.99616858237547889</v>
      </c>
      <c r="Q397" s="398">
        <v>60</v>
      </c>
      <c r="R397" s="400"/>
      <c r="S397" s="401"/>
      <c r="T397" s="402" t="s">
        <v>835</v>
      </c>
      <c r="U397" s="454"/>
      <c r="V397" s="404">
        <f t="shared" si="77"/>
        <v>4</v>
      </c>
      <c r="W397" s="405" t="str">
        <f>IF(AND(P397&lt;[3]koment!$F$1,N397&gt;=[3]koment!$F$2),"Komentovat","")</f>
        <v/>
      </c>
      <c r="X397" s="406">
        <f t="shared" si="73"/>
        <v>42</v>
      </c>
      <c r="Y397" s="404">
        <f t="shared" si="78"/>
        <v>4300</v>
      </c>
      <c r="Z397" s="407" t="str">
        <f t="shared" si="79"/>
        <v>ORG 2688 - Zřízení veřejných grilovacích míst na Brněnské přehradě</v>
      </c>
      <c r="AA397" s="408" t="str">
        <f t="shared" si="80"/>
        <v>4300374526886121</v>
      </c>
      <c r="AB397" s="388"/>
      <c r="AC397" s="409">
        <f t="shared" si="74"/>
        <v>4</v>
      </c>
      <c r="AD397" s="388"/>
      <c r="AE397" s="388"/>
      <c r="AF397" s="388"/>
    </row>
    <row r="398" spans="1:32" outlineLevel="2" x14ac:dyDescent="0.2">
      <c r="A398" s="391">
        <f t="shared" si="87"/>
        <v>396</v>
      </c>
      <c r="B398" s="422" t="s">
        <v>833</v>
      </c>
      <c r="C398" s="393" t="s">
        <v>869</v>
      </c>
      <c r="D398" s="393">
        <v>2699</v>
      </c>
      <c r="E398" s="393">
        <v>6111</v>
      </c>
      <c r="F398" s="402"/>
      <c r="G398" s="426" t="s">
        <v>873</v>
      </c>
      <c r="H398" s="423">
        <v>2016</v>
      </c>
      <c r="I398" s="423">
        <v>2016</v>
      </c>
      <c r="J398" s="420">
        <v>157</v>
      </c>
      <c r="K398" s="420"/>
      <c r="L398" s="420"/>
      <c r="M398" s="421">
        <v>157</v>
      </c>
      <c r="N398" s="421">
        <v>137</v>
      </c>
      <c r="O398" s="420">
        <v>137</v>
      </c>
      <c r="P398" s="399">
        <f t="shared" si="88"/>
        <v>1</v>
      </c>
      <c r="Q398" s="421"/>
      <c r="R398" s="400"/>
      <c r="S398" s="401"/>
      <c r="T398" s="402" t="s">
        <v>835</v>
      </c>
      <c r="U398" s="454"/>
      <c r="V398" s="404">
        <f t="shared" si="77"/>
        <v>20</v>
      </c>
      <c r="W398" s="405" t="str">
        <f>IF(AND(P398&lt;[3]koment!$F$1,N398&gt;=[3]koment!$F$2),"Komentovat","")</f>
        <v/>
      </c>
      <c r="X398" s="406">
        <f t="shared" si="73"/>
        <v>42</v>
      </c>
      <c r="Y398" s="404">
        <f t="shared" si="78"/>
        <v>4300</v>
      </c>
      <c r="Z398" s="407" t="str">
        <f t="shared" si="79"/>
        <v>ORG 2699 - Les Web internetové stránky</v>
      </c>
      <c r="AA398" s="408" t="str">
        <f t="shared" si="80"/>
        <v>4300374526996111</v>
      </c>
      <c r="AB398" s="388"/>
      <c r="AC398" s="409">
        <f t="shared" si="74"/>
        <v>20</v>
      </c>
      <c r="AD398" s="388"/>
      <c r="AE398" s="388"/>
      <c r="AF398" s="388"/>
    </row>
    <row r="399" spans="1:32" outlineLevel="2" x14ac:dyDescent="0.2">
      <c r="A399" s="391">
        <f t="shared" si="87"/>
        <v>397</v>
      </c>
      <c r="B399" s="392" t="s">
        <v>420</v>
      </c>
      <c r="C399" s="393" t="s">
        <v>869</v>
      </c>
      <c r="D399" s="394">
        <v>2700</v>
      </c>
      <c r="E399" s="393">
        <v>6351</v>
      </c>
      <c r="F399" s="395"/>
      <c r="G399" s="426" t="s">
        <v>874</v>
      </c>
      <c r="H399" s="394">
        <v>2016</v>
      </c>
      <c r="I399" s="394">
        <v>2016</v>
      </c>
      <c r="J399" s="396">
        <v>1250</v>
      </c>
      <c r="K399" s="396"/>
      <c r="L399" s="397">
        <v>0</v>
      </c>
      <c r="M399" s="398">
        <v>1250</v>
      </c>
      <c r="N399" s="398">
        <v>1250</v>
      </c>
      <c r="O399" s="396">
        <v>1250</v>
      </c>
      <c r="P399" s="399">
        <f t="shared" si="88"/>
        <v>1</v>
      </c>
      <c r="Q399" s="398"/>
      <c r="R399" s="400"/>
      <c r="S399" s="401"/>
      <c r="T399" s="402" t="s">
        <v>871</v>
      </c>
      <c r="U399" s="454"/>
      <c r="V399" s="404">
        <f t="shared" si="77"/>
        <v>0</v>
      </c>
      <c r="W399" s="405" t="str">
        <f>IF(AND(P399&lt;[3]koment!$F$1,N399&gt;=[3]koment!$F$2),"Komentovat","")</f>
        <v/>
      </c>
      <c r="X399" s="406">
        <f t="shared" si="73"/>
        <v>42</v>
      </c>
      <c r="Y399" s="404" t="str">
        <f t="shared" si="78"/>
        <v xml:space="preserve"> </v>
      </c>
      <c r="Z399" s="407">
        <f t="shared" si="79"/>
        <v>0</v>
      </c>
      <c r="AA399" s="408" t="str">
        <f t="shared" si="80"/>
        <v>5600374527006351</v>
      </c>
      <c r="AB399" s="388"/>
      <c r="AC399" s="409">
        <f t="shared" si="74"/>
        <v>0</v>
      </c>
      <c r="AD399" s="388"/>
      <c r="AE399" s="388"/>
      <c r="AF399" s="388"/>
    </row>
    <row r="400" spans="1:32" outlineLevel="2" x14ac:dyDescent="0.2">
      <c r="A400" s="391">
        <f t="shared" si="87"/>
        <v>398</v>
      </c>
      <c r="B400" s="422" t="s">
        <v>420</v>
      </c>
      <c r="C400" s="393" t="s">
        <v>869</v>
      </c>
      <c r="D400" s="393">
        <v>2701</v>
      </c>
      <c r="E400" s="393">
        <v>6121</v>
      </c>
      <c r="F400" s="427"/>
      <c r="G400" s="426" t="s">
        <v>875</v>
      </c>
      <c r="H400" s="423">
        <v>2016</v>
      </c>
      <c r="I400" s="423">
        <v>2017</v>
      </c>
      <c r="J400" s="420">
        <v>250</v>
      </c>
      <c r="K400" s="420"/>
      <c r="L400" s="420"/>
      <c r="M400" s="421">
        <v>250</v>
      </c>
      <c r="N400" s="421">
        <v>0</v>
      </c>
      <c r="O400" s="420"/>
      <c r="P400" s="399" t="str">
        <f t="shared" si="88"/>
        <v xml:space="preserve"> </v>
      </c>
      <c r="Q400" s="421"/>
      <c r="R400" s="400"/>
      <c r="S400" s="401"/>
      <c r="T400" s="402" t="s">
        <v>423</v>
      </c>
      <c r="U400" s="454"/>
      <c r="V400" s="404">
        <f t="shared" si="77"/>
        <v>250</v>
      </c>
      <c r="W400" s="405" t="str">
        <f>IF(AND(P400&lt;[3]koment!$F$1,N400&gt;=[3]koment!$F$2),"Komentovat","")</f>
        <v/>
      </c>
      <c r="X400" s="406">
        <f t="shared" si="73"/>
        <v>42</v>
      </c>
      <c r="Y400" s="404">
        <f t="shared" si="78"/>
        <v>5600</v>
      </c>
      <c r="Z400" s="407" t="str">
        <f t="shared" si="79"/>
        <v>ORG 2701 - Wilsonův les - zajištění svahu nad ulicí Zeleného - příprava</v>
      </c>
      <c r="AA400" s="408" t="str">
        <f t="shared" si="80"/>
        <v>5600374527016121</v>
      </c>
      <c r="AB400" s="388"/>
      <c r="AC400" s="409">
        <f t="shared" si="74"/>
        <v>250</v>
      </c>
      <c r="AD400" s="388"/>
      <c r="AE400" s="388"/>
      <c r="AF400" s="388"/>
    </row>
    <row r="401" spans="1:32" outlineLevel="2" x14ac:dyDescent="0.2">
      <c r="A401" s="391">
        <f t="shared" si="87"/>
        <v>399</v>
      </c>
      <c r="B401" s="392" t="s">
        <v>820</v>
      </c>
      <c r="C401" s="393" t="s">
        <v>869</v>
      </c>
      <c r="D401" s="394">
        <v>2738</v>
      </c>
      <c r="E401" s="393">
        <v>6351</v>
      </c>
      <c r="F401" s="395"/>
      <c r="G401" s="462" t="s">
        <v>876</v>
      </c>
      <c r="H401" s="394">
        <v>2015</v>
      </c>
      <c r="I401" s="394">
        <v>2018</v>
      </c>
      <c r="J401" s="396">
        <v>16000</v>
      </c>
      <c r="K401" s="396"/>
      <c r="L401" s="397">
        <v>230</v>
      </c>
      <c r="M401" s="398">
        <v>359</v>
      </c>
      <c r="N401" s="398">
        <v>359</v>
      </c>
      <c r="O401" s="396">
        <v>359</v>
      </c>
      <c r="P401" s="399">
        <f t="shared" si="88"/>
        <v>1</v>
      </c>
      <c r="Q401" s="398"/>
      <c r="R401" s="400">
        <v>15411</v>
      </c>
      <c r="S401" s="401"/>
      <c r="T401" s="402" t="s">
        <v>871</v>
      </c>
      <c r="U401" s="454"/>
      <c r="V401" s="404">
        <f t="shared" si="77"/>
        <v>0</v>
      </c>
      <c r="W401" s="405" t="str">
        <f>IF(AND(P401&lt;[3]koment!$F$1,N401&gt;=[3]koment!$F$2),"Komentovat","")</f>
        <v/>
      </c>
      <c r="X401" s="406">
        <f t="shared" si="73"/>
        <v>42</v>
      </c>
      <c r="Y401" s="404" t="str">
        <f t="shared" si="78"/>
        <v xml:space="preserve"> </v>
      </c>
      <c r="Z401" s="407">
        <f t="shared" si="79"/>
        <v>0</v>
      </c>
      <c r="AA401" s="408" t="str">
        <f t="shared" si="80"/>
        <v>4200374527386351</v>
      </c>
      <c r="AB401" s="388"/>
      <c r="AC401" s="409">
        <f t="shared" si="74"/>
        <v>0</v>
      </c>
      <c r="AD401" s="388"/>
      <c r="AE401" s="388"/>
      <c r="AF401" s="388"/>
    </row>
    <row r="402" spans="1:32" outlineLevel="2" x14ac:dyDescent="0.2">
      <c r="A402" s="391">
        <f t="shared" si="87"/>
        <v>400</v>
      </c>
      <c r="B402" s="392" t="s">
        <v>420</v>
      </c>
      <c r="C402" s="393" t="s">
        <v>869</v>
      </c>
      <c r="D402" s="394">
        <v>2841</v>
      </c>
      <c r="E402" s="393">
        <v>6121</v>
      </c>
      <c r="F402" s="395"/>
      <c r="G402" s="394" t="s">
        <v>877</v>
      </c>
      <c r="H402" s="394">
        <v>2014</v>
      </c>
      <c r="I402" s="394">
        <v>2016</v>
      </c>
      <c r="J402" s="396">
        <v>61800</v>
      </c>
      <c r="K402" s="396"/>
      <c r="L402" s="397">
        <v>56005</v>
      </c>
      <c r="M402" s="398"/>
      <c r="N402" s="398">
        <v>2000</v>
      </c>
      <c r="O402" s="396">
        <v>1757</v>
      </c>
      <c r="P402" s="399">
        <f t="shared" si="88"/>
        <v>0.87849999999999995</v>
      </c>
      <c r="Q402" s="398"/>
      <c r="R402" s="400"/>
      <c r="S402" s="401"/>
      <c r="T402" s="402" t="s">
        <v>423</v>
      </c>
      <c r="U402" s="454"/>
      <c r="V402" s="404">
        <f t="shared" si="77"/>
        <v>3795</v>
      </c>
      <c r="W402" s="405" t="str">
        <f>IF(AND(P402&lt;[3]koment!$F$1,N402&gt;=[3]koment!$F$2),"Komentovat","")</f>
        <v/>
      </c>
      <c r="X402" s="406">
        <f t="shared" si="73"/>
        <v>42</v>
      </c>
      <c r="Y402" s="404">
        <f t="shared" si="78"/>
        <v>5600</v>
      </c>
      <c r="Z402" s="407" t="str">
        <f t="shared" si="79"/>
        <v>ORG 2841 - Úprava veřejného prostoru před Janáčkovým divadlem</v>
      </c>
      <c r="AA402" s="408" t="str">
        <f t="shared" si="80"/>
        <v>5600374528416121</v>
      </c>
      <c r="AB402" s="388"/>
      <c r="AC402" s="409">
        <f t="shared" si="74"/>
        <v>3795</v>
      </c>
      <c r="AD402" s="388"/>
      <c r="AE402" s="388"/>
      <c r="AF402" s="388"/>
    </row>
    <row r="403" spans="1:32" outlineLevel="2" x14ac:dyDescent="0.2">
      <c r="A403" s="391">
        <f t="shared" si="87"/>
        <v>401</v>
      </c>
      <c r="B403" s="422" t="s">
        <v>420</v>
      </c>
      <c r="C403" s="393" t="s">
        <v>869</v>
      </c>
      <c r="D403" s="393">
        <v>4889</v>
      </c>
      <c r="E403" s="393">
        <v>6351</v>
      </c>
      <c r="F403" s="402"/>
      <c r="G403" s="394" t="s">
        <v>878</v>
      </c>
      <c r="H403" s="423">
        <v>2002</v>
      </c>
      <c r="I403" s="393">
        <v>2016</v>
      </c>
      <c r="J403" s="420">
        <v>132950</v>
      </c>
      <c r="K403" s="420"/>
      <c r="L403" s="420">
        <v>92968</v>
      </c>
      <c r="M403" s="421">
        <v>540</v>
      </c>
      <c r="N403" s="421">
        <v>540</v>
      </c>
      <c r="O403" s="420">
        <v>540</v>
      </c>
      <c r="P403" s="399">
        <f t="shared" si="88"/>
        <v>1</v>
      </c>
      <c r="Q403" s="421"/>
      <c r="R403" s="400"/>
      <c r="S403" s="401"/>
      <c r="T403" s="402" t="s">
        <v>871</v>
      </c>
      <c r="U403" s="454"/>
      <c r="V403" s="404">
        <f t="shared" si="77"/>
        <v>39442</v>
      </c>
      <c r="W403" s="405" t="str">
        <f>IF(AND(P403&lt;[3]koment!$F$1,N403&gt;=[3]koment!$F$2),"Komentovat","")</f>
        <v/>
      </c>
      <c r="X403" s="406">
        <f t="shared" si="73"/>
        <v>42</v>
      </c>
      <c r="Y403" s="404">
        <f t="shared" si="78"/>
        <v>5600</v>
      </c>
      <c r="Z403" s="407" t="str">
        <f t="shared" si="79"/>
        <v>ORG 4889 - NKP Špilberk - rekonstrukce parku III. Etapa</v>
      </c>
      <c r="AA403" s="408" t="str">
        <f t="shared" si="80"/>
        <v>5600374548896351</v>
      </c>
      <c r="AB403" s="388"/>
      <c r="AC403" s="409">
        <f t="shared" si="74"/>
        <v>39442</v>
      </c>
      <c r="AD403" s="388"/>
      <c r="AE403" s="388"/>
      <c r="AF403" s="388"/>
    </row>
    <row r="404" spans="1:32" outlineLevel="2" x14ac:dyDescent="0.2">
      <c r="A404" s="391">
        <f t="shared" si="87"/>
        <v>402</v>
      </c>
      <c r="B404" s="422" t="s">
        <v>420</v>
      </c>
      <c r="C404" s="393" t="s">
        <v>869</v>
      </c>
      <c r="D404" s="393">
        <v>5148</v>
      </c>
      <c r="E404" s="393">
        <v>6121</v>
      </c>
      <c r="F404" s="427" t="s">
        <v>490</v>
      </c>
      <c r="G404" s="394" t="s">
        <v>879</v>
      </c>
      <c r="H404" s="393">
        <v>2012</v>
      </c>
      <c r="I404" s="393">
        <v>2016</v>
      </c>
      <c r="J404" s="420">
        <v>18300</v>
      </c>
      <c r="K404" s="420">
        <v>15587</v>
      </c>
      <c r="L404" s="420">
        <v>16417</v>
      </c>
      <c r="M404" s="421">
        <v>50</v>
      </c>
      <c r="N404" s="421">
        <v>50</v>
      </c>
      <c r="O404" s="420">
        <v>0</v>
      </c>
      <c r="P404" s="399">
        <f t="shared" si="88"/>
        <v>0</v>
      </c>
      <c r="Q404" s="421"/>
      <c r="R404" s="400"/>
      <c r="S404" s="401"/>
      <c r="T404" s="402" t="s">
        <v>423</v>
      </c>
      <c r="U404" s="454"/>
      <c r="V404" s="404">
        <f t="shared" si="77"/>
        <v>1833</v>
      </c>
      <c r="W404" s="405" t="str">
        <f>IF(AND(P404&lt;[3]koment!$F$1,N404&gt;=[3]koment!$F$2),"Komentovat","")</f>
        <v/>
      </c>
      <c r="X404" s="406">
        <f t="shared" si="73"/>
        <v>42</v>
      </c>
      <c r="Y404" s="404">
        <f t="shared" si="78"/>
        <v>5600</v>
      </c>
      <c r="Z404" s="407" t="str">
        <f t="shared" si="79"/>
        <v>ORG 5148 - Nízkoprahové centrum v parku Hvězdička</v>
      </c>
      <c r="AA404" s="408" t="str">
        <f t="shared" si="80"/>
        <v>5600374551486121EU</v>
      </c>
      <c r="AB404" s="388"/>
      <c r="AC404" s="409">
        <f t="shared" si="74"/>
        <v>1833</v>
      </c>
      <c r="AD404" s="388"/>
      <c r="AE404" s="388"/>
      <c r="AF404" s="388"/>
    </row>
    <row r="405" spans="1:32" outlineLevel="2" x14ac:dyDescent="0.2">
      <c r="A405" s="391">
        <f t="shared" si="87"/>
        <v>403</v>
      </c>
      <c r="B405" s="392" t="s">
        <v>668</v>
      </c>
      <c r="C405" s="393" t="s">
        <v>869</v>
      </c>
      <c r="D405" s="394">
        <v>5194</v>
      </c>
      <c r="E405" s="393">
        <v>6356</v>
      </c>
      <c r="F405" s="427" t="s">
        <v>490</v>
      </c>
      <c r="G405" s="394" t="s">
        <v>880</v>
      </c>
      <c r="H405" s="394">
        <v>2014</v>
      </c>
      <c r="I405" s="394">
        <v>2016</v>
      </c>
      <c r="J405" s="396">
        <v>46687</v>
      </c>
      <c r="K405" s="396"/>
      <c r="L405" s="397">
        <v>6939</v>
      </c>
      <c r="M405" s="398"/>
      <c r="N405" s="398">
        <v>24065</v>
      </c>
      <c r="O405" s="396">
        <v>24065</v>
      </c>
      <c r="P405" s="399">
        <f t="shared" si="88"/>
        <v>1</v>
      </c>
      <c r="Q405" s="398"/>
      <c r="R405" s="400"/>
      <c r="S405" s="401"/>
      <c r="T405" s="402" t="s">
        <v>871</v>
      </c>
      <c r="U405" s="454"/>
      <c r="V405" s="404">
        <f t="shared" si="77"/>
        <v>15683</v>
      </c>
      <c r="W405" s="405" t="str">
        <f>IF(AND(P405&lt;[3]koment!$F$1,N405&gt;=[3]koment!$F$2),"Komentovat","")</f>
        <v/>
      </c>
      <c r="X405" s="406">
        <f t="shared" si="73"/>
        <v>42</v>
      </c>
      <c r="Y405" s="404">
        <f t="shared" si="78"/>
        <v>5900</v>
      </c>
      <c r="Z405" s="407" t="str">
        <f t="shared" si="79"/>
        <v>ORG 5194 - Revitalizace městských parků, III. etapa</v>
      </c>
      <c r="AA405" s="408" t="str">
        <f t="shared" si="80"/>
        <v>5900374551946356EU</v>
      </c>
      <c r="AB405" s="388"/>
      <c r="AC405" s="409">
        <f t="shared" si="74"/>
        <v>15683</v>
      </c>
      <c r="AD405" s="388"/>
      <c r="AE405" s="388"/>
      <c r="AF405" s="388"/>
    </row>
    <row r="406" spans="1:32" outlineLevel="2" x14ac:dyDescent="0.2">
      <c r="A406" s="391">
        <f t="shared" si="87"/>
        <v>404</v>
      </c>
      <c r="B406" s="422" t="s">
        <v>820</v>
      </c>
      <c r="C406" s="393" t="s">
        <v>881</v>
      </c>
      <c r="D406" s="461">
        <v>30019105</v>
      </c>
      <c r="E406" s="393">
        <v>6351</v>
      </c>
      <c r="F406" s="427"/>
      <c r="G406" s="394" t="s">
        <v>882</v>
      </c>
      <c r="H406" s="393"/>
      <c r="I406" s="393"/>
      <c r="J406" s="420"/>
      <c r="K406" s="420"/>
      <c r="L406" s="420">
        <v>6829</v>
      </c>
      <c r="M406" s="421">
        <v>2200</v>
      </c>
      <c r="N406" s="421">
        <v>2200</v>
      </c>
      <c r="O406" s="420">
        <v>2200</v>
      </c>
      <c r="P406" s="399">
        <f t="shared" si="88"/>
        <v>1</v>
      </c>
      <c r="Q406" s="421">
        <v>500</v>
      </c>
      <c r="R406" s="400"/>
      <c r="S406" s="401"/>
      <c r="T406" s="402" t="s">
        <v>871</v>
      </c>
      <c r="U406" s="454"/>
      <c r="V406" s="404">
        <f t="shared" si="77"/>
        <v>0</v>
      </c>
      <c r="W406" s="405" t="str">
        <f>IF(AND(P406&lt;[3]koment!$F$1,N406&gt;=[3]koment!$F$2),"Komentovat","")</f>
        <v/>
      </c>
      <c r="X406" s="406">
        <f t="shared" ref="X406:X469" si="91">IF(W406="Komentovat",X405+1,X405)</f>
        <v>42</v>
      </c>
      <c r="Y406" s="404" t="str">
        <f t="shared" si="78"/>
        <v xml:space="preserve"> </v>
      </c>
      <c r="Z406" s="407">
        <f t="shared" si="79"/>
        <v>0</v>
      </c>
      <c r="AA406" s="408" t="str">
        <f t="shared" si="80"/>
        <v>42003745300191056351</v>
      </c>
      <c r="AB406" s="388"/>
      <c r="AC406" s="409">
        <f t="shared" si="74"/>
        <v>0</v>
      </c>
      <c r="AD406" s="388"/>
      <c r="AE406" s="388"/>
      <c r="AF406" s="388"/>
    </row>
    <row r="407" spans="1:32" outlineLevel="1" x14ac:dyDescent="0.2">
      <c r="A407" s="391">
        <f t="shared" si="87"/>
        <v>405</v>
      </c>
      <c r="B407" s="422"/>
      <c r="C407" s="424" t="s">
        <v>883</v>
      </c>
      <c r="D407" s="461"/>
      <c r="E407" s="393"/>
      <c r="F407" s="427"/>
      <c r="G407" s="394"/>
      <c r="H407" s="393"/>
      <c r="I407" s="393"/>
      <c r="J407" s="420">
        <f t="shared" ref="J407:O407" si="92">SUBTOTAL(9,J396:J406)</f>
        <v>281219</v>
      </c>
      <c r="K407" s="420">
        <f t="shared" si="92"/>
        <v>15587</v>
      </c>
      <c r="L407" s="420">
        <f t="shared" si="92"/>
        <v>179388</v>
      </c>
      <c r="M407" s="421">
        <f t="shared" si="92"/>
        <v>4806</v>
      </c>
      <c r="N407" s="421">
        <f t="shared" si="92"/>
        <v>32362</v>
      </c>
      <c r="O407" s="420">
        <f t="shared" si="92"/>
        <v>32068</v>
      </c>
      <c r="P407" s="399">
        <f t="shared" si="88"/>
        <v>0.99091527099684817</v>
      </c>
      <c r="Q407" s="421">
        <f>SUBTOTAL(9,Q396:Q406)</f>
        <v>2560</v>
      </c>
      <c r="R407" s="400">
        <f>SUBTOTAL(9,R396:R406)</f>
        <v>15411</v>
      </c>
      <c r="S407" s="401">
        <f>SUBTOTAL(9,S396:S406)</f>
        <v>0</v>
      </c>
      <c r="T407" s="402"/>
      <c r="U407" s="454"/>
      <c r="V407" s="404"/>
      <c r="W407" s="405"/>
      <c r="X407" s="406"/>
      <c r="Y407" s="404" t="str">
        <f>IF($V407=0," ",IF(LEN($B407)=4,$B407*1,$B407))</f>
        <v xml:space="preserve"> </v>
      </c>
      <c r="Z407" s="407">
        <f>IF($Y407=" ",0,"ORG "&amp;$D407&amp;" - "&amp;$G407)</f>
        <v>0</v>
      </c>
      <c r="AA407" s="408" t="str">
        <f>$B407&amp;LEFT($C407,4)&amp;$D407&amp;$E407&amp;$F407</f>
        <v>Celk</v>
      </c>
      <c r="AB407" s="388"/>
      <c r="AC407" s="409"/>
      <c r="AD407" s="388"/>
      <c r="AE407" s="388"/>
      <c r="AF407" s="388"/>
    </row>
    <row r="408" spans="1:32" outlineLevel="2" x14ac:dyDescent="0.2">
      <c r="A408" s="391">
        <f t="shared" si="87"/>
        <v>406</v>
      </c>
      <c r="B408" s="392" t="s">
        <v>777</v>
      </c>
      <c r="C408" s="393" t="s">
        <v>884</v>
      </c>
      <c r="D408" s="394">
        <v>5327</v>
      </c>
      <c r="E408" s="393">
        <v>6351</v>
      </c>
      <c r="F408" s="427" t="s">
        <v>490</v>
      </c>
      <c r="G408" s="394" t="s">
        <v>885</v>
      </c>
      <c r="H408" s="394"/>
      <c r="I408" s="394"/>
      <c r="J408" s="396"/>
      <c r="K408" s="396"/>
      <c r="L408" s="397"/>
      <c r="M408" s="398"/>
      <c r="N408" s="398">
        <v>2055</v>
      </c>
      <c r="O408" s="396">
        <v>2055</v>
      </c>
      <c r="P408" s="399">
        <f t="shared" si="88"/>
        <v>1</v>
      </c>
      <c r="Q408" s="398"/>
      <c r="R408" s="400"/>
      <c r="S408" s="401"/>
      <c r="T408" s="402" t="s">
        <v>886</v>
      </c>
      <c r="U408" s="454"/>
      <c r="V408" s="404">
        <f t="shared" si="77"/>
        <v>-2055</v>
      </c>
      <c r="W408" s="405" t="str">
        <f>IF(AND(P408&lt;[3]koment!$F$1,N408&gt;=[3]koment!$F$2),"Komentovat","")</f>
        <v/>
      </c>
      <c r="X408" s="406">
        <f>IF(W408="Komentovat",X406+1,X406)</f>
        <v>42</v>
      </c>
      <c r="Y408" s="404">
        <f t="shared" si="78"/>
        <v>7100</v>
      </c>
      <c r="Z408" s="407" t="str">
        <f t="shared" si="79"/>
        <v>ORG 5327 - Dětská skupina Zahradníkova</v>
      </c>
      <c r="AA408" s="408" t="str">
        <f t="shared" si="80"/>
        <v>7100390053276351EU</v>
      </c>
      <c r="AB408" s="388"/>
      <c r="AC408" s="409">
        <f t="shared" si="74"/>
        <v>-2055</v>
      </c>
      <c r="AD408" s="388"/>
      <c r="AE408" s="388"/>
      <c r="AF408" s="388"/>
    </row>
    <row r="409" spans="1:32" outlineLevel="2" x14ac:dyDescent="0.2">
      <c r="A409" s="391">
        <f t="shared" si="87"/>
        <v>407</v>
      </c>
      <c r="B409" s="392" t="s">
        <v>777</v>
      </c>
      <c r="C409" s="393" t="s">
        <v>884</v>
      </c>
      <c r="D409" s="394">
        <v>5327</v>
      </c>
      <c r="E409" s="393">
        <v>6356</v>
      </c>
      <c r="F409" s="427" t="s">
        <v>490</v>
      </c>
      <c r="G409" s="394" t="s">
        <v>885</v>
      </c>
      <c r="H409" s="394">
        <v>2016</v>
      </c>
      <c r="I409" s="394">
        <v>2019</v>
      </c>
      <c r="J409" s="396">
        <v>2567</v>
      </c>
      <c r="K409" s="396"/>
      <c r="L409" s="397"/>
      <c r="M409" s="398"/>
      <c r="N409" s="398">
        <v>511</v>
      </c>
      <c r="O409" s="396">
        <v>511</v>
      </c>
      <c r="P409" s="399">
        <f t="shared" si="88"/>
        <v>1</v>
      </c>
      <c r="Q409" s="398"/>
      <c r="R409" s="400"/>
      <c r="S409" s="401"/>
      <c r="T409" s="402" t="s">
        <v>886</v>
      </c>
      <c r="U409" s="454"/>
      <c r="V409" s="404">
        <f t="shared" si="77"/>
        <v>2056</v>
      </c>
      <c r="W409" s="405" t="str">
        <f>IF(AND(P409&lt;[3]koment!$F$1,N409&gt;=[3]koment!$F$2),"Komentovat","")</f>
        <v/>
      </c>
      <c r="X409" s="406">
        <f t="shared" si="91"/>
        <v>42</v>
      </c>
      <c r="Y409" s="404">
        <f t="shared" si="78"/>
        <v>7100</v>
      </c>
      <c r="Z409" s="407" t="str">
        <f t="shared" si="79"/>
        <v>ORG 5327 - Dětská skupina Zahradníkova</v>
      </c>
      <c r="AA409" s="408" t="str">
        <f t="shared" si="80"/>
        <v>7100390053276356EU</v>
      </c>
      <c r="AB409" s="388"/>
      <c r="AC409" s="409">
        <f t="shared" si="74"/>
        <v>2056</v>
      </c>
      <c r="AD409" s="388"/>
      <c r="AE409" s="388"/>
      <c r="AF409" s="388"/>
    </row>
    <row r="410" spans="1:32" outlineLevel="1" x14ac:dyDescent="0.2">
      <c r="A410" s="391">
        <f t="shared" si="87"/>
        <v>408</v>
      </c>
      <c r="B410" s="392"/>
      <c r="C410" s="424" t="s">
        <v>887</v>
      </c>
      <c r="D410" s="394"/>
      <c r="E410" s="393"/>
      <c r="F410" s="427"/>
      <c r="G410" s="394"/>
      <c r="H410" s="394"/>
      <c r="I410" s="394"/>
      <c r="J410" s="396">
        <f t="shared" ref="J410:O410" si="93">SUBTOTAL(9,J408:J409)</f>
        <v>2567</v>
      </c>
      <c r="K410" s="396">
        <f t="shared" si="93"/>
        <v>0</v>
      </c>
      <c r="L410" s="397">
        <f t="shared" si="93"/>
        <v>0</v>
      </c>
      <c r="M410" s="398">
        <f t="shared" si="93"/>
        <v>0</v>
      </c>
      <c r="N410" s="398">
        <f t="shared" si="93"/>
        <v>2566</v>
      </c>
      <c r="O410" s="396">
        <f t="shared" si="93"/>
        <v>2566</v>
      </c>
      <c r="P410" s="399">
        <f t="shared" si="88"/>
        <v>1</v>
      </c>
      <c r="Q410" s="398">
        <f>SUBTOTAL(9,Q408:Q409)</f>
        <v>0</v>
      </c>
      <c r="R410" s="400">
        <f>SUBTOTAL(9,R408:R409)</f>
        <v>0</v>
      </c>
      <c r="S410" s="401">
        <f>SUBTOTAL(9,S408:S409)</f>
        <v>0</v>
      </c>
      <c r="T410" s="402"/>
      <c r="U410" s="454"/>
      <c r="V410" s="404"/>
      <c r="W410" s="405"/>
      <c r="X410" s="406"/>
      <c r="Y410" s="404" t="str">
        <f>IF($V410=0," ",IF(LEN($B410)=4,$B410*1,$B410))</f>
        <v xml:space="preserve"> </v>
      </c>
      <c r="Z410" s="407">
        <f>IF($Y410=" ",0,"ORG "&amp;$D410&amp;" - "&amp;$G410)</f>
        <v>0</v>
      </c>
      <c r="AA410" s="408" t="str">
        <f>$B410&amp;LEFT($C410,4)&amp;$D410&amp;$E410&amp;$F410</f>
        <v>Celk</v>
      </c>
      <c r="AB410" s="388"/>
      <c r="AC410" s="409"/>
      <c r="AD410" s="388"/>
      <c r="AE410" s="388"/>
      <c r="AF410" s="388"/>
    </row>
    <row r="411" spans="1:32" outlineLevel="2" x14ac:dyDescent="0.2">
      <c r="A411" s="391">
        <f t="shared" si="87"/>
        <v>409</v>
      </c>
      <c r="B411" s="392" t="s">
        <v>888</v>
      </c>
      <c r="C411" s="393" t="s">
        <v>889</v>
      </c>
      <c r="D411" s="394">
        <v>5328</v>
      </c>
      <c r="E411" s="393">
        <v>6111</v>
      </c>
      <c r="F411" s="427" t="s">
        <v>490</v>
      </c>
      <c r="G411" s="394" t="s">
        <v>890</v>
      </c>
      <c r="H411" s="394">
        <v>2016</v>
      </c>
      <c r="I411" s="394">
        <v>2018</v>
      </c>
      <c r="J411" s="396">
        <v>65</v>
      </c>
      <c r="K411" s="396"/>
      <c r="L411" s="397"/>
      <c r="M411" s="398"/>
      <c r="N411" s="398">
        <v>127</v>
      </c>
      <c r="O411" s="396"/>
      <c r="P411" s="399">
        <f t="shared" si="88"/>
        <v>0</v>
      </c>
      <c r="Q411" s="398">
        <v>65</v>
      </c>
      <c r="R411" s="400"/>
      <c r="S411" s="401"/>
      <c r="T411" s="402" t="s">
        <v>891</v>
      </c>
      <c r="U411" s="454"/>
      <c r="V411" s="404">
        <f t="shared" si="77"/>
        <v>-127</v>
      </c>
      <c r="W411" s="405" t="str">
        <f>IF(AND(P411&lt;[3]koment!$F$1,N411&gt;=[3]koment!$F$2),"Komentovat","")</f>
        <v/>
      </c>
      <c r="X411" s="406">
        <f>IF(W411="Komentovat",X409+1,X409)</f>
        <v>42</v>
      </c>
      <c r="Y411" s="404">
        <f t="shared" si="78"/>
        <v>7200</v>
      </c>
      <c r="Z411" s="407" t="str">
        <f t="shared" si="79"/>
        <v>ORG 5328 - Pilotní testování Rapid Re-Housing</v>
      </c>
      <c r="AA411" s="408" t="str">
        <f t="shared" si="80"/>
        <v>7200434153286111EU</v>
      </c>
      <c r="AB411" s="388"/>
      <c r="AC411" s="409">
        <f t="shared" si="74"/>
        <v>-127</v>
      </c>
      <c r="AD411" s="388"/>
      <c r="AE411" s="388"/>
      <c r="AF411" s="388"/>
    </row>
    <row r="412" spans="1:32" outlineLevel="1" x14ac:dyDescent="0.2">
      <c r="A412" s="391">
        <f t="shared" si="87"/>
        <v>410</v>
      </c>
      <c r="B412" s="392"/>
      <c r="C412" s="424" t="s">
        <v>892</v>
      </c>
      <c r="D412" s="394"/>
      <c r="E412" s="393"/>
      <c r="F412" s="427"/>
      <c r="G412" s="394"/>
      <c r="H412" s="394"/>
      <c r="I412" s="394"/>
      <c r="J412" s="396">
        <f t="shared" ref="J412:O412" si="94">SUBTOTAL(9,J411:J411)</f>
        <v>65</v>
      </c>
      <c r="K412" s="396">
        <f t="shared" si="94"/>
        <v>0</v>
      </c>
      <c r="L412" s="397">
        <f t="shared" si="94"/>
        <v>0</v>
      </c>
      <c r="M412" s="398">
        <f t="shared" si="94"/>
        <v>0</v>
      </c>
      <c r="N412" s="398">
        <f t="shared" si="94"/>
        <v>127</v>
      </c>
      <c r="O412" s="396">
        <f t="shared" si="94"/>
        <v>0</v>
      </c>
      <c r="P412" s="399">
        <f t="shared" si="88"/>
        <v>0</v>
      </c>
      <c r="Q412" s="398">
        <f>SUBTOTAL(9,Q411:Q411)</f>
        <v>65</v>
      </c>
      <c r="R412" s="400">
        <f>SUBTOTAL(9,R411:R411)</f>
        <v>0</v>
      </c>
      <c r="S412" s="401">
        <f>SUBTOTAL(9,S411:S411)</f>
        <v>0</v>
      </c>
      <c r="T412" s="402"/>
      <c r="U412" s="454"/>
      <c r="V412" s="404"/>
      <c r="W412" s="405"/>
      <c r="X412" s="406"/>
      <c r="Y412" s="404" t="str">
        <f>IF($V412=0," ",IF(LEN($B412)=4,$B412*1,$B412))</f>
        <v xml:space="preserve"> </v>
      </c>
      <c r="Z412" s="407">
        <f>IF($Y412=" ",0,"ORG "&amp;$D412&amp;" - "&amp;$G412)</f>
        <v>0</v>
      </c>
      <c r="AA412" s="408" t="str">
        <f>$B412&amp;LEFT($C412,4)&amp;$D412&amp;$E412&amp;$F412</f>
        <v>Celk</v>
      </c>
      <c r="AB412" s="388"/>
      <c r="AC412" s="409"/>
      <c r="AD412" s="388"/>
      <c r="AE412" s="388"/>
      <c r="AF412" s="388"/>
    </row>
    <row r="413" spans="1:32" outlineLevel="2" x14ac:dyDescent="0.2">
      <c r="A413" s="391">
        <f t="shared" si="87"/>
        <v>411</v>
      </c>
      <c r="B413" s="392" t="s">
        <v>888</v>
      </c>
      <c r="C413" s="393" t="s">
        <v>893</v>
      </c>
      <c r="D413" s="394">
        <v>30059148</v>
      </c>
      <c r="E413" s="393">
        <v>6356</v>
      </c>
      <c r="F413" s="395"/>
      <c r="G413" s="394" t="s">
        <v>894</v>
      </c>
      <c r="H413" s="394"/>
      <c r="I413" s="394"/>
      <c r="J413" s="396"/>
      <c r="K413" s="396"/>
      <c r="L413" s="397"/>
      <c r="M413" s="398"/>
      <c r="N413" s="398">
        <v>285</v>
      </c>
      <c r="O413" s="396">
        <v>285</v>
      </c>
      <c r="P413" s="399">
        <f t="shared" si="88"/>
        <v>1</v>
      </c>
      <c r="Q413" s="398"/>
      <c r="R413" s="400"/>
      <c r="S413" s="401"/>
      <c r="T413" s="402" t="s">
        <v>895</v>
      </c>
      <c r="U413" s="454"/>
      <c r="V413" s="404">
        <f t="shared" si="77"/>
        <v>0</v>
      </c>
      <c r="W413" s="405" t="str">
        <f>IF(AND(P413&lt;[3]koment!$F$1,N413&gt;=[3]koment!$F$2),"Komentovat","")</f>
        <v/>
      </c>
      <c r="X413" s="406">
        <f>IF(W413="Komentovat",X411+1,X411)</f>
        <v>42</v>
      </c>
      <c r="Y413" s="404" t="str">
        <f t="shared" si="78"/>
        <v xml:space="preserve"> </v>
      </c>
      <c r="Z413" s="407">
        <f t="shared" si="79"/>
        <v>0</v>
      </c>
      <c r="AA413" s="408" t="str">
        <f t="shared" si="80"/>
        <v>72004342300591486356</v>
      </c>
      <c r="AB413" s="388"/>
      <c r="AC413" s="409">
        <f t="shared" si="74"/>
        <v>0</v>
      </c>
      <c r="AD413" s="388"/>
      <c r="AE413" s="388"/>
      <c r="AF413" s="388"/>
    </row>
    <row r="414" spans="1:32" outlineLevel="1" x14ac:dyDescent="0.2">
      <c r="A414" s="391">
        <f t="shared" si="87"/>
        <v>412</v>
      </c>
      <c r="B414" s="392"/>
      <c r="C414" s="424" t="s">
        <v>896</v>
      </c>
      <c r="D414" s="394"/>
      <c r="E414" s="393"/>
      <c r="F414" s="395"/>
      <c r="G414" s="394"/>
      <c r="H414" s="394"/>
      <c r="I414" s="394"/>
      <c r="J414" s="396">
        <f t="shared" ref="J414:O414" si="95">SUBTOTAL(9,J413:J413)</f>
        <v>0</v>
      </c>
      <c r="K414" s="396">
        <f t="shared" si="95"/>
        <v>0</v>
      </c>
      <c r="L414" s="397">
        <f t="shared" si="95"/>
        <v>0</v>
      </c>
      <c r="M414" s="398">
        <f t="shared" si="95"/>
        <v>0</v>
      </c>
      <c r="N414" s="398">
        <f t="shared" si="95"/>
        <v>285</v>
      </c>
      <c r="O414" s="396">
        <f t="shared" si="95"/>
        <v>285</v>
      </c>
      <c r="P414" s="399">
        <f t="shared" si="88"/>
        <v>1</v>
      </c>
      <c r="Q414" s="398">
        <f>SUBTOTAL(9,Q413:Q413)</f>
        <v>0</v>
      </c>
      <c r="R414" s="400">
        <f>SUBTOTAL(9,R413:R413)</f>
        <v>0</v>
      </c>
      <c r="S414" s="401">
        <f>SUBTOTAL(9,S413:S413)</f>
        <v>0</v>
      </c>
      <c r="T414" s="402"/>
      <c r="U414" s="454"/>
      <c r="V414" s="404"/>
      <c r="W414" s="405"/>
      <c r="X414" s="406"/>
      <c r="Y414" s="404" t="str">
        <f>IF($V414=0," ",IF(LEN($B414)=4,$B414*1,$B414))</f>
        <v xml:space="preserve"> </v>
      </c>
      <c r="Z414" s="407">
        <f>IF($Y414=" ",0,"ORG "&amp;$D414&amp;" - "&amp;$G414)</f>
        <v>0</v>
      </c>
      <c r="AA414" s="408" t="str">
        <f>$B414&amp;LEFT($C414,4)&amp;$D414&amp;$E414&amp;$F414</f>
        <v>Celk</v>
      </c>
      <c r="AB414" s="388"/>
      <c r="AC414" s="409"/>
      <c r="AD414" s="388"/>
      <c r="AE414" s="388"/>
      <c r="AF414" s="388"/>
    </row>
    <row r="415" spans="1:32" outlineLevel="2" x14ac:dyDescent="0.2">
      <c r="A415" s="391">
        <f t="shared" si="87"/>
        <v>413</v>
      </c>
      <c r="B415" s="392" t="s">
        <v>888</v>
      </c>
      <c r="C415" s="393" t="s">
        <v>897</v>
      </c>
      <c r="D415" s="394">
        <v>2662</v>
      </c>
      <c r="E415" s="393">
        <v>6351</v>
      </c>
      <c r="F415" s="395"/>
      <c r="G415" s="394" t="s">
        <v>898</v>
      </c>
      <c r="H415" s="394">
        <v>2016</v>
      </c>
      <c r="I415" s="394">
        <v>2017</v>
      </c>
      <c r="J415" s="396">
        <v>4450</v>
      </c>
      <c r="K415" s="396"/>
      <c r="L415" s="397"/>
      <c r="M415" s="398"/>
      <c r="N415" s="398">
        <v>1750</v>
      </c>
      <c r="O415" s="396">
        <v>1750</v>
      </c>
      <c r="P415" s="399">
        <f t="shared" si="88"/>
        <v>1</v>
      </c>
      <c r="Q415" s="398">
        <v>2700</v>
      </c>
      <c r="R415" s="400"/>
      <c r="S415" s="401"/>
      <c r="T415" s="402" t="s">
        <v>899</v>
      </c>
      <c r="U415" s="454"/>
      <c r="V415" s="404">
        <f t="shared" si="77"/>
        <v>0</v>
      </c>
      <c r="W415" s="405" t="str">
        <f>IF(AND(P415&lt;[3]koment!$F$1,N415&gt;=[3]koment!$F$2),"Komentovat","")</f>
        <v/>
      </c>
      <c r="X415" s="406">
        <f>IF(W415="Komentovat",X413+1,X413)</f>
        <v>42</v>
      </c>
      <c r="Y415" s="404" t="str">
        <f t="shared" si="78"/>
        <v xml:space="preserve"> </v>
      </c>
      <c r="Z415" s="407">
        <f t="shared" si="79"/>
        <v>0</v>
      </c>
      <c r="AA415" s="408" t="str">
        <f t="shared" si="80"/>
        <v>7200435026626351</v>
      </c>
      <c r="AB415" s="388"/>
      <c r="AC415" s="409">
        <f t="shared" si="74"/>
        <v>0</v>
      </c>
      <c r="AD415" s="388"/>
      <c r="AE415" s="388"/>
      <c r="AF415" s="388"/>
    </row>
    <row r="416" spans="1:32" outlineLevel="2" x14ac:dyDescent="0.2">
      <c r="A416" s="391">
        <f t="shared" si="87"/>
        <v>414</v>
      </c>
      <c r="B416" s="392" t="s">
        <v>888</v>
      </c>
      <c r="C416" s="393" t="s">
        <v>897</v>
      </c>
      <c r="D416" s="394">
        <v>2664</v>
      </c>
      <c r="E416" s="393">
        <v>6351</v>
      </c>
      <c r="F416" s="395"/>
      <c r="G416" s="394" t="s">
        <v>900</v>
      </c>
      <c r="H416" s="394">
        <v>2016</v>
      </c>
      <c r="I416" s="394">
        <v>2016</v>
      </c>
      <c r="J416" s="396">
        <v>1030</v>
      </c>
      <c r="K416" s="396"/>
      <c r="L416" s="397"/>
      <c r="M416" s="398"/>
      <c r="N416" s="398">
        <v>1030</v>
      </c>
      <c r="O416" s="396">
        <v>1029</v>
      </c>
      <c r="P416" s="399">
        <f t="shared" si="88"/>
        <v>0.99902912621359219</v>
      </c>
      <c r="Q416" s="398"/>
      <c r="R416" s="400"/>
      <c r="S416" s="401"/>
      <c r="T416" s="402" t="s">
        <v>901</v>
      </c>
      <c r="U416" s="454"/>
      <c r="V416" s="404">
        <f t="shared" si="77"/>
        <v>0</v>
      </c>
      <c r="W416" s="405" t="str">
        <f>IF(AND(P416&lt;[3]koment!$F$1,N416&gt;=[3]koment!$F$2),"Komentovat","")</f>
        <v/>
      </c>
      <c r="X416" s="406">
        <f t="shared" si="91"/>
        <v>42</v>
      </c>
      <c r="Y416" s="404" t="str">
        <f t="shared" si="78"/>
        <v xml:space="preserve"> </v>
      </c>
      <c r="Z416" s="407">
        <f t="shared" si="79"/>
        <v>0</v>
      </c>
      <c r="AA416" s="408" t="str">
        <f t="shared" si="80"/>
        <v>7200435026646351</v>
      </c>
      <c r="AB416" s="388"/>
      <c r="AC416" s="409">
        <f t="shared" si="74"/>
        <v>0</v>
      </c>
      <c r="AD416" s="388"/>
      <c r="AE416" s="388"/>
      <c r="AF416" s="388"/>
    </row>
    <row r="417" spans="1:32" outlineLevel="2" x14ac:dyDescent="0.2">
      <c r="A417" s="391">
        <f t="shared" si="87"/>
        <v>415</v>
      </c>
      <c r="B417" s="392" t="s">
        <v>420</v>
      </c>
      <c r="C417" s="393" t="s">
        <v>897</v>
      </c>
      <c r="D417" s="394">
        <v>5197</v>
      </c>
      <c r="E417" s="393">
        <v>6121</v>
      </c>
      <c r="F417" s="448" t="s">
        <v>490</v>
      </c>
      <c r="G417" s="394" t="s">
        <v>902</v>
      </c>
      <c r="H417" s="394">
        <v>2014</v>
      </c>
      <c r="I417" s="394">
        <v>2016</v>
      </c>
      <c r="J417" s="396">
        <v>35026</v>
      </c>
      <c r="K417" s="396">
        <v>5197</v>
      </c>
      <c r="L417" s="397">
        <v>20794</v>
      </c>
      <c r="M417" s="398"/>
      <c r="N417" s="398">
        <v>20</v>
      </c>
      <c r="O417" s="396">
        <v>15</v>
      </c>
      <c r="P417" s="399">
        <f t="shared" si="88"/>
        <v>0.75</v>
      </c>
      <c r="Q417" s="398"/>
      <c r="R417" s="400"/>
      <c r="S417" s="401"/>
      <c r="T417" s="402" t="s">
        <v>423</v>
      </c>
      <c r="U417" s="454"/>
      <c r="V417" s="404">
        <f t="shared" si="77"/>
        <v>14212</v>
      </c>
      <c r="W417" s="405" t="str">
        <f>IF(AND(P417&lt;[3]koment!$F$1,N417&gt;=[3]koment!$F$2),"Komentovat","")</f>
        <v/>
      </c>
      <c r="X417" s="406">
        <f t="shared" si="91"/>
        <v>42</v>
      </c>
      <c r="Y417" s="404">
        <f t="shared" si="78"/>
        <v>5600</v>
      </c>
      <c r="Z417" s="407" t="str">
        <f t="shared" si="79"/>
        <v>ORG 5197 - Stavební úpravy Domova pro seniory Foltýnova</v>
      </c>
      <c r="AA417" s="408" t="str">
        <f t="shared" si="80"/>
        <v>5600435051976121EU</v>
      </c>
      <c r="AB417" s="388"/>
      <c r="AC417" s="409">
        <f t="shared" si="74"/>
        <v>14212</v>
      </c>
      <c r="AD417" s="388"/>
      <c r="AE417" s="388"/>
      <c r="AF417" s="388"/>
    </row>
    <row r="418" spans="1:32" outlineLevel="2" x14ac:dyDescent="0.2">
      <c r="A418" s="391">
        <f t="shared" si="87"/>
        <v>416</v>
      </c>
      <c r="B418" s="392" t="s">
        <v>888</v>
      </c>
      <c r="C418" s="393" t="s">
        <v>897</v>
      </c>
      <c r="D418" s="394">
        <v>30059131</v>
      </c>
      <c r="E418" s="393">
        <v>6351</v>
      </c>
      <c r="F418" s="395"/>
      <c r="G418" s="426" t="s">
        <v>903</v>
      </c>
      <c r="H418" s="394"/>
      <c r="I418" s="394"/>
      <c r="J418" s="396"/>
      <c r="K418" s="396"/>
      <c r="L418" s="397">
        <v>1514</v>
      </c>
      <c r="M418" s="398">
        <v>1350</v>
      </c>
      <c r="N418" s="398">
        <v>1350</v>
      </c>
      <c r="O418" s="396">
        <v>1350</v>
      </c>
      <c r="P418" s="399">
        <f t="shared" si="88"/>
        <v>1</v>
      </c>
      <c r="Q418" s="398">
        <v>1135</v>
      </c>
      <c r="R418" s="400"/>
      <c r="S418" s="401"/>
      <c r="T418" s="402" t="s">
        <v>901</v>
      </c>
      <c r="U418" s="454"/>
      <c r="V418" s="404">
        <f t="shared" si="77"/>
        <v>0</v>
      </c>
      <c r="W418" s="405" t="str">
        <f>IF(AND(P418&lt;[3]koment!$F$1,N418&gt;=[3]koment!$F$2),"Komentovat","")</f>
        <v/>
      </c>
      <c r="X418" s="406">
        <f t="shared" si="91"/>
        <v>42</v>
      </c>
      <c r="Y418" s="404" t="str">
        <f t="shared" si="78"/>
        <v xml:space="preserve"> </v>
      </c>
      <c r="Z418" s="407">
        <f t="shared" si="79"/>
        <v>0</v>
      </c>
      <c r="AA418" s="408" t="str">
        <f t="shared" si="80"/>
        <v>72004350300591316351</v>
      </c>
      <c r="AB418" s="388"/>
      <c r="AC418" s="409">
        <f t="shared" si="74"/>
        <v>0</v>
      </c>
      <c r="AD418" s="388"/>
      <c r="AE418" s="388"/>
      <c r="AF418" s="388"/>
    </row>
    <row r="419" spans="1:32" outlineLevel="2" x14ac:dyDescent="0.2">
      <c r="A419" s="391">
        <f t="shared" si="87"/>
        <v>417</v>
      </c>
      <c r="B419" s="392" t="s">
        <v>888</v>
      </c>
      <c r="C419" s="393" t="s">
        <v>897</v>
      </c>
      <c r="D419" s="394">
        <v>30059134</v>
      </c>
      <c r="E419" s="393">
        <v>6351</v>
      </c>
      <c r="F419" s="395"/>
      <c r="G419" s="426" t="s">
        <v>904</v>
      </c>
      <c r="H419" s="394"/>
      <c r="I419" s="394"/>
      <c r="J419" s="396"/>
      <c r="K419" s="396"/>
      <c r="L419" s="397">
        <v>3783</v>
      </c>
      <c r="M419" s="398">
        <v>800</v>
      </c>
      <c r="N419" s="398">
        <v>1400</v>
      </c>
      <c r="O419" s="396">
        <v>1355</v>
      </c>
      <c r="P419" s="399">
        <f t="shared" si="88"/>
        <v>0.96785714285714286</v>
      </c>
      <c r="Q419" s="398">
        <v>620</v>
      </c>
      <c r="R419" s="400"/>
      <c r="S419" s="401"/>
      <c r="T419" s="402" t="s">
        <v>905</v>
      </c>
      <c r="U419" s="454"/>
      <c r="V419" s="404">
        <f t="shared" si="77"/>
        <v>0</v>
      </c>
      <c r="W419" s="405" t="str">
        <f>IF(AND(P419&lt;[3]koment!$F$1,N419&gt;=[3]koment!$F$2),"Komentovat","")</f>
        <v/>
      </c>
      <c r="X419" s="406">
        <f t="shared" si="91"/>
        <v>42</v>
      </c>
      <c r="Y419" s="404" t="str">
        <f t="shared" si="78"/>
        <v xml:space="preserve"> </v>
      </c>
      <c r="Z419" s="407">
        <f t="shared" si="79"/>
        <v>0</v>
      </c>
      <c r="AA419" s="408" t="str">
        <f t="shared" si="80"/>
        <v>72004350300591346351</v>
      </c>
      <c r="AB419" s="388"/>
      <c r="AC419" s="409">
        <f t="shared" si="74"/>
        <v>0</v>
      </c>
      <c r="AD419" s="388"/>
      <c r="AE419" s="388"/>
      <c r="AF419" s="388"/>
    </row>
    <row r="420" spans="1:32" outlineLevel="2" x14ac:dyDescent="0.2">
      <c r="A420" s="391">
        <f t="shared" si="87"/>
        <v>418</v>
      </c>
      <c r="B420" s="392" t="s">
        <v>888</v>
      </c>
      <c r="C420" s="393" t="s">
        <v>897</v>
      </c>
      <c r="D420" s="394">
        <v>30059135</v>
      </c>
      <c r="E420" s="393">
        <v>6351</v>
      </c>
      <c r="F420" s="395"/>
      <c r="G420" s="394" t="s">
        <v>906</v>
      </c>
      <c r="H420" s="394"/>
      <c r="I420" s="394"/>
      <c r="J420" s="396"/>
      <c r="K420" s="396"/>
      <c r="L420" s="397"/>
      <c r="M420" s="398"/>
      <c r="N420" s="398">
        <v>140</v>
      </c>
      <c r="O420" s="396">
        <v>140</v>
      </c>
      <c r="P420" s="399">
        <f t="shared" si="88"/>
        <v>1</v>
      </c>
      <c r="Q420" s="398">
        <v>400</v>
      </c>
      <c r="R420" s="400"/>
      <c r="S420" s="401"/>
      <c r="T420" s="402" t="s">
        <v>907</v>
      </c>
      <c r="U420" s="454"/>
      <c r="V420" s="404">
        <f t="shared" si="77"/>
        <v>0</v>
      </c>
      <c r="W420" s="405" t="str">
        <f>IF(AND(P420&lt;[3]koment!$F$1,N420&gt;=[3]koment!$F$2),"Komentovat","")</f>
        <v/>
      </c>
      <c r="X420" s="406">
        <f t="shared" si="91"/>
        <v>42</v>
      </c>
      <c r="Y420" s="404" t="str">
        <f t="shared" si="78"/>
        <v xml:space="preserve"> </v>
      </c>
      <c r="Z420" s="407">
        <f t="shared" si="79"/>
        <v>0</v>
      </c>
      <c r="AA420" s="408" t="str">
        <f t="shared" si="80"/>
        <v>72004350300591356351</v>
      </c>
      <c r="AB420" s="388"/>
      <c r="AC420" s="409">
        <f t="shared" si="74"/>
        <v>0</v>
      </c>
      <c r="AD420" s="388"/>
      <c r="AE420" s="388"/>
      <c r="AF420" s="388"/>
    </row>
    <row r="421" spans="1:32" outlineLevel="2" x14ac:dyDescent="0.2">
      <c r="A421" s="391">
        <f t="shared" si="87"/>
        <v>419</v>
      </c>
      <c r="B421" s="392" t="s">
        <v>888</v>
      </c>
      <c r="C421" s="393" t="s">
        <v>897</v>
      </c>
      <c r="D421" s="394">
        <v>30059136</v>
      </c>
      <c r="E421" s="393">
        <v>6351</v>
      </c>
      <c r="F421" s="395"/>
      <c r="G421" s="394" t="s">
        <v>908</v>
      </c>
      <c r="H421" s="394"/>
      <c r="I421" s="394"/>
      <c r="J421" s="396"/>
      <c r="K421" s="396"/>
      <c r="L421" s="397"/>
      <c r="M421" s="398"/>
      <c r="N421" s="398">
        <v>280</v>
      </c>
      <c r="O421" s="396">
        <v>280</v>
      </c>
      <c r="P421" s="399">
        <f t="shared" si="88"/>
        <v>1</v>
      </c>
      <c r="Q421" s="398">
        <v>400</v>
      </c>
      <c r="R421" s="400"/>
      <c r="S421" s="401"/>
      <c r="T421" s="402" t="s">
        <v>909</v>
      </c>
      <c r="U421" s="454"/>
      <c r="V421" s="404">
        <f t="shared" si="77"/>
        <v>0</v>
      </c>
      <c r="W421" s="405" t="str">
        <f>IF(AND(P421&lt;[3]koment!$F$1,N421&gt;=[3]koment!$F$2),"Komentovat","")</f>
        <v/>
      </c>
      <c r="X421" s="406">
        <f t="shared" si="91"/>
        <v>42</v>
      </c>
      <c r="Y421" s="404" t="str">
        <f t="shared" si="78"/>
        <v xml:space="preserve"> </v>
      </c>
      <c r="Z421" s="407">
        <f t="shared" si="79"/>
        <v>0</v>
      </c>
      <c r="AA421" s="408" t="str">
        <f t="shared" si="80"/>
        <v>72004350300591366351</v>
      </c>
      <c r="AB421" s="388"/>
      <c r="AC421" s="409">
        <f t="shared" ref="AC421:AC481" si="96">IF(LEN(D421)=4,(J421-L421-N421-Q421-R421-S421),0)</f>
        <v>0</v>
      </c>
      <c r="AD421" s="388"/>
      <c r="AE421" s="388"/>
      <c r="AF421" s="388"/>
    </row>
    <row r="422" spans="1:32" outlineLevel="2" x14ac:dyDescent="0.2">
      <c r="A422" s="391">
        <f t="shared" si="87"/>
        <v>420</v>
      </c>
      <c r="B422" s="392" t="s">
        <v>888</v>
      </c>
      <c r="C422" s="393" t="s">
        <v>897</v>
      </c>
      <c r="D422" s="394">
        <v>30059137</v>
      </c>
      <c r="E422" s="393">
        <v>6351</v>
      </c>
      <c r="F422" s="395"/>
      <c r="G422" s="394" t="s">
        <v>910</v>
      </c>
      <c r="H422" s="394"/>
      <c r="I422" s="394"/>
      <c r="J422" s="396"/>
      <c r="K422" s="396"/>
      <c r="L422" s="397"/>
      <c r="M422" s="398">
        <v>170</v>
      </c>
      <c r="N422" s="398">
        <v>220</v>
      </c>
      <c r="O422" s="396">
        <v>170</v>
      </c>
      <c r="P422" s="399">
        <f t="shared" si="88"/>
        <v>0.77272727272727271</v>
      </c>
      <c r="Q422" s="398">
        <v>80</v>
      </c>
      <c r="R422" s="400"/>
      <c r="S422" s="401"/>
      <c r="T422" s="402" t="s">
        <v>911</v>
      </c>
      <c r="U422" s="454"/>
      <c r="V422" s="404">
        <f t="shared" si="77"/>
        <v>0</v>
      </c>
      <c r="W422" s="405" t="str">
        <f>IF(AND(P422&lt;[3]koment!$F$1,N422&gt;=[3]koment!$F$2),"Komentovat","")</f>
        <v/>
      </c>
      <c r="X422" s="406">
        <f t="shared" si="91"/>
        <v>42</v>
      </c>
      <c r="Y422" s="404" t="str">
        <f t="shared" si="78"/>
        <v xml:space="preserve"> </v>
      </c>
      <c r="Z422" s="407">
        <f t="shared" si="79"/>
        <v>0</v>
      </c>
      <c r="AA422" s="408" t="str">
        <f t="shared" si="80"/>
        <v>72004350300591376351</v>
      </c>
      <c r="AB422" s="388"/>
      <c r="AC422" s="409">
        <f t="shared" si="96"/>
        <v>0</v>
      </c>
      <c r="AD422" s="388"/>
      <c r="AE422" s="388"/>
      <c r="AF422" s="388"/>
    </row>
    <row r="423" spans="1:32" outlineLevel="2" x14ac:dyDescent="0.2">
      <c r="A423" s="391">
        <f t="shared" si="87"/>
        <v>421</v>
      </c>
      <c r="B423" s="392" t="s">
        <v>888</v>
      </c>
      <c r="C423" s="393" t="s">
        <v>897</v>
      </c>
      <c r="D423" s="394">
        <v>30059139</v>
      </c>
      <c r="E423" s="393">
        <v>6351</v>
      </c>
      <c r="F423" s="395"/>
      <c r="G423" s="459" t="s">
        <v>912</v>
      </c>
      <c r="H423" s="394"/>
      <c r="I423" s="394"/>
      <c r="J423" s="396"/>
      <c r="K423" s="396"/>
      <c r="L423" s="397">
        <v>565</v>
      </c>
      <c r="M423" s="398">
        <v>580</v>
      </c>
      <c r="N423" s="398">
        <v>580</v>
      </c>
      <c r="O423" s="396">
        <v>580</v>
      </c>
      <c r="P423" s="399">
        <f t="shared" si="88"/>
        <v>1</v>
      </c>
      <c r="Q423" s="398">
        <v>480</v>
      </c>
      <c r="R423" s="400"/>
      <c r="S423" s="401"/>
      <c r="T423" s="402" t="s">
        <v>899</v>
      </c>
      <c r="U423" s="454"/>
      <c r="V423" s="404">
        <f t="shared" si="77"/>
        <v>0</v>
      </c>
      <c r="W423" s="405" t="str">
        <f>IF(AND(P423&lt;[3]koment!$F$1,N423&gt;=[3]koment!$F$2),"Komentovat","")</f>
        <v/>
      </c>
      <c r="X423" s="406">
        <f t="shared" si="91"/>
        <v>42</v>
      </c>
      <c r="Y423" s="404" t="str">
        <f t="shared" si="78"/>
        <v xml:space="preserve"> </v>
      </c>
      <c r="Z423" s="407">
        <f t="shared" si="79"/>
        <v>0</v>
      </c>
      <c r="AA423" s="408" t="str">
        <f t="shared" si="80"/>
        <v>72004350300591396351</v>
      </c>
      <c r="AB423" s="388"/>
      <c r="AC423" s="409">
        <f t="shared" si="96"/>
        <v>0</v>
      </c>
      <c r="AD423" s="388"/>
      <c r="AE423" s="388"/>
      <c r="AF423" s="388"/>
    </row>
    <row r="424" spans="1:32" outlineLevel="1" x14ac:dyDescent="0.2">
      <c r="A424" s="391">
        <f t="shared" si="87"/>
        <v>422</v>
      </c>
      <c r="B424" s="392"/>
      <c r="C424" s="424" t="s">
        <v>913</v>
      </c>
      <c r="D424" s="394"/>
      <c r="E424" s="393"/>
      <c r="F424" s="395"/>
      <c r="G424" s="459"/>
      <c r="H424" s="394"/>
      <c r="I424" s="394"/>
      <c r="J424" s="396">
        <f t="shared" ref="J424:O424" si="97">SUBTOTAL(9,J415:J423)</f>
        <v>40506</v>
      </c>
      <c r="K424" s="396">
        <f t="shared" si="97"/>
        <v>5197</v>
      </c>
      <c r="L424" s="397">
        <f t="shared" si="97"/>
        <v>26656</v>
      </c>
      <c r="M424" s="398">
        <f t="shared" si="97"/>
        <v>2900</v>
      </c>
      <c r="N424" s="398">
        <f t="shared" si="97"/>
        <v>6770</v>
      </c>
      <c r="O424" s="396">
        <f t="shared" si="97"/>
        <v>6669</v>
      </c>
      <c r="P424" s="399">
        <f t="shared" si="88"/>
        <v>0.98508124076809456</v>
      </c>
      <c r="Q424" s="398">
        <f>SUBTOTAL(9,Q415:Q423)</f>
        <v>5815</v>
      </c>
      <c r="R424" s="400">
        <f>SUBTOTAL(9,R415:R423)</f>
        <v>0</v>
      </c>
      <c r="S424" s="401">
        <f>SUBTOTAL(9,S415:S423)</f>
        <v>0</v>
      </c>
      <c r="T424" s="402"/>
      <c r="U424" s="454"/>
      <c r="V424" s="404"/>
      <c r="W424" s="405"/>
      <c r="X424" s="406"/>
      <c r="Y424" s="404" t="str">
        <f>IF($V424=0," ",IF(LEN($B424)=4,$B424*1,$B424))</f>
        <v xml:space="preserve"> </v>
      </c>
      <c r="Z424" s="407">
        <f>IF($Y424=" ",0,"ORG "&amp;$D424&amp;" - "&amp;$G424)</f>
        <v>0</v>
      </c>
      <c r="AA424" s="408" t="str">
        <f>$B424&amp;LEFT($C424,4)&amp;$D424&amp;$E424&amp;$F424</f>
        <v>Celk</v>
      </c>
      <c r="AB424" s="388"/>
      <c r="AC424" s="409"/>
      <c r="AD424" s="388"/>
      <c r="AE424" s="388"/>
      <c r="AF424" s="388"/>
    </row>
    <row r="425" spans="1:32" outlineLevel="2" x14ac:dyDescent="0.2">
      <c r="A425" s="391">
        <f t="shared" si="87"/>
        <v>423</v>
      </c>
      <c r="B425" s="392" t="s">
        <v>162</v>
      </c>
      <c r="C425" s="429" t="s">
        <v>914</v>
      </c>
      <c r="D425" s="394">
        <v>2912</v>
      </c>
      <c r="E425" s="393">
        <v>6121</v>
      </c>
      <c r="F425" s="395">
        <v>41</v>
      </c>
      <c r="G425" s="426" t="s">
        <v>915</v>
      </c>
      <c r="H425" s="394">
        <v>2014</v>
      </c>
      <c r="I425" s="394">
        <v>2020</v>
      </c>
      <c r="J425" s="396">
        <v>150000</v>
      </c>
      <c r="K425" s="396"/>
      <c r="L425" s="420">
        <v>68</v>
      </c>
      <c r="M425" s="398">
        <v>19500</v>
      </c>
      <c r="N425" s="398">
        <v>1000</v>
      </c>
      <c r="O425" s="396"/>
      <c r="P425" s="399">
        <f t="shared" si="88"/>
        <v>0</v>
      </c>
      <c r="Q425" s="398">
        <v>2000</v>
      </c>
      <c r="R425" s="400">
        <v>50000</v>
      </c>
      <c r="S425" s="401">
        <v>96932</v>
      </c>
      <c r="T425" s="402" t="s">
        <v>790</v>
      </c>
      <c r="U425" s="454"/>
      <c r="V425" s="404">
        <f t="shared" si="77"/>
        <v>0</v>
      </c>
      <c r="W425" s="405" t="str">
        <f>IF(AND(P425&lt;[3]koment!$F$1,N425&gt;=[3]koment!$F$2),"Komentovat","")</f>
        <v>Komentovat</v>
      </c>
      <c r="X425" s="406">
        <f>IF(W425="Komentovat",X423+1,X423)</f>
        <v>43</v>
      </c>
      <c r="Y425" s="404" t="str">
        <f t="shared" si="78"/>
        <v xml:space="preserve"> </v>
      </c>
      <c r="Z425" s="407">
        <f t="shared" si="79"/>
        <v>0</v>
      </c>
      <c r="AA425" s="408" t="str">
        <f t="shared" si="80"/>
        <v>620043512912612141</v>
      </c>
      <c r="AB425" s="388"/>
      <c r="AC425" s="409">
        <f t="shared" si="96"/>
        <v>0</v>
      </c>
      <c r="AD425" s="388"/>
      <c r="AE425" s="388"/>
      <c r="AF425" s="388"/>
    </row>
    <row r="426" spans="1:32" outlineLevel="2" x14ac:dyDescent="0.2">
      <c r="A426" s="391">
        <f t="shared" si="87"/>
        <v>424</v>
      </c>
      <c r="B426" s="419">
        <v>6200</v>
      </c>
      <c r="C426" s="393" t="s">
        <v>914</v>
      </c>
      <c r="D426" s="393">
        <v>2936</v>
      </c>
      <c r="E426" s="393">
        <v>6121</v>
      </c>
      <c r="F426" s="402">
        <v>41</v>
      </c>
      <c r="G426" s="394" t="s">
        <v>916</v>
      </c>
      <c r="H426" s="393">
        <v>2011</v>
      </c>
      <c r="I426" s="393">
        <v>2017</v>
      </c>
      <c r="J426" s="420">
        <v>42000</v>
      </c>
      <c r="K426" s="420"/>
      <c r="L426" s="420">
        <v>1831</v>
      </c>
      <c r="M426" s="421">
        <v>35000</v>
      </c>
      <c r="N426" s="421">
        <v>12000</v>
      </c>
      <c r="O426" s="420">
        <v>9564</v>
      </c>
      <c r="P426" s="399">
        <f t="shared" si="88"/>
        <v>0.79700000000000004</v>
      </c>
      <c r="Q426" s="421">
        <v>23000</v>
      </c>
      <c r="R426" s="400"/>
      <c r="S426" s="401"/>
      <c r="T426" s="450" t="s">
        <v>790</v>
      </c>
      <c r="U426" s="454"/>
      <c r="V426" s="404">
        <f t="shared" si="77"/>
        <v>5169</v>
      </c>
      <c r="W426" s="405" t="str">
        <f>IF(AND(P426&lt;[3]koment!$F$1,N426&gt;=[3]koment!$F$2),"Komentovat","")</f>
        <v>Komentovat</v>
      </c>
      <c r="X426" s="406">
        <f t="shared" si="91"/>
        <v>44</v>
      </c>
      <c r="Y426" s="404">
        <f t="shared" si="78"/>
        <v>6200</v>
      </c>
      <c r="Z426" s="407" t="str">
        <f t="shared" si="79"/>
        <v>ORG 2936 - DPS Mlýnská</v>
      </c>
      <c r="AA426" s="408" t="str">
        <f t="shared" si="80"/>
        <v>620043512936612141</v>
      </c>
      <c r="AB426" s="388"/>
      <c r="AC426" s="409">
        <f t="shared" si="96"/>
        <v>5169</v>
      </c>
      <c r="AD426" s="388"/>
      <c r="AE426" s="388"/>
      <c r="AF426" s="388"/>
    </row>
    <row r="427" spans="1:32" outlineLevel="1" x14ac:dyDescent="0.2">
      <c r="A427" s="391">
        <f t="shared" si="87"/>
        <v>425</v>
      </c>
      <c r="B427" s="419"/>
      <c r="C427" s="424" t="s">
        <v>917</v>
      </c>
      <c r="D427" s="393"/>
      <c r="E427" s="393"/>
      <c r="F427" s="402"/>
      <c r="G427" s="394"/>
      <c r="H427" s="393"/>
      <c r="I427" s="393"/>
      <c r="J427" s="420">
        <f t="shared" ref="J427:O427" si="98">SUBTOTAL(9,J425:J426)</f>
        <v>192000</v>
      </c>
      <c r="K427" s="420">
        <f t="shared" si="98"/>
        <v>0</v>
      </c>
      <c r="L427" s="420">
        <f t="shared" si="98"/>
        <v>1899</v>
      </c>
      <c r="M427" s="421">
        <f t="shared" si="98"/>
        <v>54500</v>
      </c>
      <c r="N427" s="421">
        <f t="shared" si="98"/>
        <v>13000</v>
      </c>
      <c r="O427" s="420">
        <f t="shared" si="98"/>
        <v>9564</v>
      </c>
      <c r="P427" s="399">
        <f t="shared" si="88"/>
        <v>0.73569230769230765</v>
      </c>
      <c r="Q427" s="421">
        <f>SUBTOTAL(9,Q425:Q426)</f>
        <v>25000</v>
      </c>
      <c r="R427" s="400">
        <f>SUBTOTAL(9,R425:R426)</f>
        <v>50000</v>
      </c>
      <c r="S427" s="401">
        <f>SUBTOTAL(9,S425:S426)</f>
        <v>96932</v>
      </c>
      <c r="T427" s="450"/>
      <c r="U427" s="454"/>
      <c r="V427" s="404"/>
      <c r="W427" s="405"/>
      <c r="X427" s="406"/>
      <c r="Y427" s="404" t="str">
        <f>IF($V427=0," ",IF(LEN($B427)=4,$B427*1,$B427))</f>
        <v xml:space="preserve"> </v>
      </c>
      <c r="Z427" s="407">
        <f>IF($Y427=" ",0,"ORG "&amp;$D427&amp;" - "&amp;$G427)</f>
        <v>0</v>
      </c>
      <c r="AA427" s="408" t="str">
        <f>$B427&amp;LEFT($C427,4)&amp;$D427&amp;$E427&amp;$F427</f>
        <v>Celk</v>
      </c>
      <c r="AB427" s="388"/>
      <c r="AC427" s="409"/>
      <c r="AD427" s="388"/>
      <c r="AE427" s="388"/>
      <c r="AF427" s="388"/>
    </row>
    <row r="428" spans="1:32" outlineLevel="2" x14ac:dyDescent="0.2">
      <c r="A428" s="391">
        <f t="shared" si="87"/>
        <v>426</v>
      </c>
      <c r="B428" s="392" t="s">
        <v>420</v>
      </c>
      <c r="C428" s="393" t="s">
        <v>918</v>
      </c>
      <c r="D428" s="394">
        <v>5322</v>
      </c>
      <c r="E428" s="393">
        <v>6121</v>
      </c>
      <c r="F428" s="427" t="s">
        <v>490</v>
      </c>
      <c r="G428" s="394" t="s">
        <v>919</v>
      </c>
      <c r="H428" s="394">
        <v>2016</v>
      </c>
      <c r="I428" s="394">
        <v>2019</v>
      </c>
      <c r="J428" s="396"/>
      <c r="K428" s="396"/>
      <c r="L428" s="397"/>
      <c r="M428" s="398"/>
      <c r="N428" s="398">
        <v>861</v>
      </c>
      <c r="O428" s="396"/>
      <c r="P428" s="399">
        <f t="shared" si="88"/>
        <v>0</v>
      </c>
      <c r="Q428" s="398"/>
      <c r="R428" s="400"/>
      <c r="S428" s="401"/>
      <c r="T428" s="402" t="s">
        <v>423</v>
      </c>
      <c r="U428" s="454"/>
      <c r="V428" s="404">
        <f t="shared" si="77"/>
        <v>-861</v>
      </c>
      <c r="W428" s="405" t="str">
        <f>IF(AND(P428&lt;[3]koment!$F$1,N428&gt;=[3]koment!$F$2),"Komentovat","")</f>
        <v/>
      </c>
      <c r="X428" s="406">
        <f>IF(W428="Komentovat",X426+1,X426)</f>
        <v>44</v>
      </c>
      <c r="Y428" s="404">
        <f t="shared" si="78"/>
        <v>5600</v>
      </c>
      <c r="Z428" s="407" t="str">
        <f t="shared" si="79"/>
        <v>ORG 5322 - Zařízení sociálních služeb - chráněné bydlení, Nováčkova 38</v>
      </c>
      <c r="AA428" s="408" t="str">
        <f t="shared" si="80"/>
        <v>5600435453226121EU</v>
      </c>
      <c r="AB428" s="388"/>
      <c r="AC428" s="409">
        <f t="shared" si="96"/>
        <v>-861</v>
      </c>
      <c r="AD428" s="388"/>
      <c r="AE428" s="388"/>
      <c r="AF428" s="388"/>
    </row>
    <row r="429" spans="1:32" outlineLevel="2" x14ac:dyDescent="0.2">
      <c r="A429" s="391">
        <f t="shared" si="87"/>
        <v>427</v>
      </c>
      <c r="B429" s="392" t="s">
        <v>888</v>
      </c>
      <c r="C429" s="393" t="s">
        <v>918</v>
      </c>
      <c r="D429" s="394">
        <v>5322</v>
      </c>
      <c r="E429" s="393">
        <v>6121</v>
      </c>
      <c r="F429" s="427" t="s">
        <v>490</v>
      </c>
      <c r="G429" s="394" t="s">
        <v>919</v>
      </c>
      <c r="H429" s="394">
        <v>2016</v>
      </c>
      <c r="I429" s="394">
        <v>2019</v>
      </c>
      <c r="J429" s="396">
        <v>29424</v>
      </c>
      <c r="K429" s="396"/>
      <c r="L429" s="397"/>
      <c r="M429" s="398"/>
      <c r="N429" s="398">
        <v>39</v>
      </c>
      <c r="O429" s="396">
        <v>38</v>
      </c>
      <c r="P429" s="399">
        <f t="shared" si="88"/>
        <v>0.97435897435897434</v>
      </c>
      <c r="Q429" s="398">
        <v>1000</v>
      </c>
      <c r="R429" s="400"/>
      <c r="S429" s="401"/>
      <c r="T429" s="402" t="s">
        <v>891</v>
      </c>
      <c r="U429" s="454"/>
      <c r="V429" s="404">
        <f t="shared" si="77"/>
        <v>28385</v>
      </c>
      <c r="W429" s="405" t="str">
        <f>IF(AND(P429&lt;[3]koment!$F$1,N429&gt;=[3]koment!$F$2),"Komentovat","")</f>
        <v/>
      </c>
      <c r="X429" s="406">
        <f t="shared" si="91"/>
        <v>44</v>
      </c>
      <c r="Y429" s="404">
        <f t="shared" si="78"/>
        <v>7200</v>
      </c>
      <c r="Z429" s="407" t="str">
        <f t="shared" si="79"/>
        <v>ORG 5322 - Zařízení sociálních služeb - chráněné bydlení, Nováčkova 38</v>
      </c>
      <c r="AA429" s="408" t="str">
        <f t="shared" si="80"/>
        <v>7200435453226121EU</v>
      </c>
      <c r="AB429" s="388"/>
      <c r="AC429" s="409">
        <f t="shared" si="96"/>
        <v>28385</v>
      </c>
      <c r="AD429" s="388"/>
      <c r="AE429" s="388"/>
      <c r="AF429" s="388"/>
    </row>
    <row r="430" spans="1:32" outlineLevel="1" x14ac:dyDescent="0.2">
      <c r="A430" s="391">
        <f t="shared" si="87"/>
        <v>428</v>
      </c>
      <c r="B430" s="392"/>
      <c r="C430" s="424" t="s">
        <v>920</v>
      </c>
      <c r="D430" s="394"/>
      <c r="E430" s="393"/>
      <c r="F430" s="427"/>
      <c r="G430" s="394"/>
      <c r="H430" s="394"/>
      <c r="I430" s="394"/>
      <c r="J430" s="396">
        <f t="shared" ref="J430:O430" si="99">SUBTOTAL(9,J428:J429)</f>
        <v>29424</v>
      </c>
      <c r="K430" s="396">
        <f t="shared" si="99"/>
        <v>0</v>
      </c>
      <c r="L430" s="397">
        <f t="shared" si="99"/>
        <v>0</v>
      </c>
      <c r="M430" s="398">
        <f t="shared" si="99"/>
        <v>0</v>
      </c>
      <c r="N430" s="398">
        <f t="shared" si="99"/>
        <v>900</v>
      </c>
      <c r="O430" s="396">
        <f t="shared" si="99"/>
        <v>38</v>
      </c>
      <c r="P430" s="399">
        <f t="shared" si="88"/>
        <v>4.2222222222222223E-2</v>
      </c>
      <c r="Q430" s="398">
        <f>SUBTOTAL(9,Q428:Q429)</f>
        <v>1000</v>
      </c>
      <c r="R430" s="400">
        <f>SUBTOTAL(9,R428:R429)</f>
        <v>0</v>
      </c>
      <c r="S430" s="401">
        <f>SUBTOTAL(9,S428:S429)</f>
        <v>0</v>
      </c>
      <c r="T430" s="402"/>
      <c r="U430" s="454"/>
      <c r="V430" s="404"/>
      <c r="W430" s="405"/>
      <c r="X430" s="406"/>
      <c r="Y430" s="404" t="str">
        <f>IF($V430=0," ",IF(LEN($B430)=4,$B430*1,$B430))</f>
        <v xml:space="preserve"> </v>
      </c>
      <c r="Z430" s="407">
        <f>IF($Y430=" ",0,"ORG "&amp;$D430&amp;" - "&amp;$G430)</f>
        <v>0</v>
      </c>
      <c r="AA430" s="408" t="str">
        <f>$B430&amp;LEFT($C430,4)&amp;$D430&amp;$E430&amp;$F430</f>
        <v>Celk</v>
      </c>
      <c r="AB430" s="388"/>
      <c r="AC430" s="409"/>
      <c r="AD430" s="388"/>
      <c r="AE430" s="388"/>
      <c r="AF430" s="388"/>
    </row>
    <row r="431" spans="1:32" outlineLevel="2" x14ac:dyDescent="0.2">
      <c r="A431" s="391">
        <f t="shared" si="87"/>
        <v>429</v>
      </c>
      <c r="B431" s="392" t="s">
        <v>888</v>
      </c>
      <c r="C431" s="393" t="s">
        <v>921</v>
      </c>
      <c r="D431" s="394">
        <v>2663</v>
      </c>
      <c r="E431" s="393">
        <v>6351</v>
      </c>
      <c r="F431" s="395"/>
      <c r="G431" s="452" t="s">
        <v>922</v>
      </c>
      <c r="H431" s="394">
        <v>2016</v>
      </c>
      <c r="I431" s="394">
        <v>2016</v>
      </c>
      <c r="J431" s="396">
        <v>1310</v>
      </c>
      <c r="K431" s="396"/>
      <c r="L431" s="397"/>
      <c r="M431" s="398"/>
      <c r="N431" s="398">
        <v>1310</v>
      </c>
      <c r="O431" s="396">
        <v>1310</v>
      </c>
      <c r="P431" s="399">
        <f t="shared" si="88"/>
        <v>1</v>
      </c>
      <c r="Q431" s="398"/>
      <c r="R431" s="400"/>
      <c r="S431" s="401"/>
      <c r="T431" s="402" t="s">
        <v>923</v>
      </c>
      <c r="U431" s="454"/>
      <c r="V431" s="404">
        <f t="shared" si="77"/>
        <v>0</v>
      </c>
      <c r="W431" s="405" t="str">
        <f>IF(AND(P431&lt;[3]koment!$F$1,N431&gt;=[3]koment!$F$2),"Komentovat","")</f>
        <v/>
      </c>
      <c r="X431" s="406">
        <f>IF(W431="Komentovat",X429+1,X429)</f>
        <v>44</v>
      </c>
      <c r="Y431" s="404" t="str">
        <f t="shared" si="78"/>
        <v xml:space="preserve"> </v>
      </c>
      <c r="Z431" s="407">
        <f t="shared" si="79"/>
        <v>0</v>
      </c>
      <c r="AA431" s="408" t="str">
        <f t="shared" si="80"/>
        <v>7200435726636351</v>
      </c>
      <c r="AB431" s="388"/>
      <c r="AC431" s="409">
        <f t="shared" si="96"/>
        <v>0</v>
      </c>
      <c r="AD431" s="388"/>
      <c r="AE431" s="388"/>
      <c r="AF431" s="388"/>
    </row>
    <row r="432" spans="1:32" outlineLevel="2" x14ac:dyDescent="0.2">
      <c r="A432" s="391">
        <f t="shared" si="87"/>
        <v>430</v>
      </c>
      <c r="B432" s="422" t="s">
        <v>420</v>
      </c>
      <c r="C432" s="393" t="s">
        <v>921</v>
      </c>
      <c r="D432" s="393">
        <v>5122</v>
      </c>
      <c r="E432" s="393">
        <v>6121</v>
      </c>
      <c r="F432" s="427" t="s">
        <v>490</v>
      </c>
      <c r="G432" s="455" t="s">
        <v>924</v>
      </c>
      <c r="H432" s="423">
        <v>2010</v>
      </c>
      <c r="I432" s="423">
        <v>2016</v>
      </c>
      <c r="J432" s="420">
        <v>51000</v>
      </c>
      <c r="K432" s="420">
        <v>39049</v>
      </c>
      <c r="L432" s="420">
        <v>44117</v>
      </c>
      <c r="M432" s="421"/>
      <c r="N432" s="421">
        <v>30</v>
      </c>
      <c r="O432" s="420">
        <v>17</v>
      </c>
      <c r="P432" s="399">
        <f t="shared" si="88"/>
        <v>0.56666666666666665</v>
      </c>
      <c r="Q432" s="421"/>
      <c r="R432" s="400"/>
      <c r="S432" s="401"/>
      <c r="T432" s="402" t="s">
        <v>423</v>
      </c>
      <c r="U432" s="454"/>
      <c r="V432" s="404">
        <f t="shared" si="77"/>
        <v>6853</v>
      </c>
      <c r="W432" s="405" t="str">
        <f>IF(AND(P432&lt;[3]koment!$F$1,N432&gt;=[3]koment!$F$2),"Komentovat","")</f>
        <v/>
      </c>
      <c r="X432" s="406">
        <f t="shared" si="91"/>
        <v>44</v>
      </c>
      <c r="Y432" s="404">
        <f t="shared" si="78"/>
        <v>5600</v>
      </c>
      <c r="Z432" s="407" t="str">
        <f t="shared" si="79"/>
        <v>ORG 5122 - DS Foltýnova 21 - odstranění bariér a zvýšení lůžkové kapacity</v>
      </c>
      <c r="AA432" s="408" t="str">
        <f t="shared" si="80"/>
        <v>5600435751226121EU</v>
      </c>
      <c r="AB432" s="388"/>
      <c r="AC432" s="409">
        <f t="shared" si="96"/>
        <v>6853</v>
      </c>
      <c r="AD432" s="388"/>
      <c r="AE432" s="388"/>
      <c r="AF432" s="388"/>
    </row>
    <row r="433" spans="1:32" outlineLevel="2" x14ac:dyDescent="0.2">
      <c r="A433" s="391">
        <f t="shared" si="87"/>
        <v>431</v>
      </c>
      <c r="B433" s="392" t="s">
        <v>420</v>
      </c>
      <c r="C433" s="393" t="s">
        <v>921</v>
      </c>
      <c r="D433" s="394">
        <v>5321</v>
      </c>
      <c r="E433" s="393">
        <v>6121</v>
      </c>
      <c r="F433" s="427" t="s">
        <v>490</v>
      </c>
      <c r="G433" s="394" t="s">
        <v>925</v>
      </c>
      <c r="H433" s="394">
        <v>2016</v>
      </c>
      <c r="I433" s="394">
        <v>2019</v>
      </c>
      <c r="J433" s="396">
        <v>40535</v>
      </c>
      <c r="K433" s="396"/>
      <c r="L433" s="397"/>
      <c r="M433" s="398"/>
      <c r="N433" s="398">
        <v>1047</v>
      </c>
      <c r="O433" s="396"/>
      <c r="P433" s="399">
        <f t="shared" si="88"/>
        <v>0</v>
      </c>
      <c r="Q433" s="398">
        <v>1000</v>
      </c>
      <c r="R433" s="400"/>
      <c r="S433" s="401"/>
      <c r="T433" s="402" t="s">
        <v>423</v>
      </c>
      <c r="U433" s="454"/>
      <c r="V433" s="404">
        <f t="shared" si="77"/>
        <v>38488</v>
      </c>
      <c r="W433" s="405" t="str">
        <f>IF(AND(P433&lt;[3]koment!$F$1,N433&gt;=[3]koment!$F$2),"Komentovat","")</f>
        <v>Komentovat</v>
      </c>
      <c r="X433" s="406">
        <f t="shared" si="91"/>
        <v>45</v>
      </c>
      <c r="Y433" s="404">
        <f t="shared" si="78"/>
        <v>5600</v>
      </c>
      <c r="Z433" s="407" t="str">
        <f t="shared" si="79"/>
        <v>ORG 5321 - Zařízení se zvláštním režimem, Mostecká 10, Brno</v>
      </c>
      <c r="AA433" s="408" t="str">
        <f t="shared" si="80"/>
        <v>5600435753216121EU</v>
      </c>
      <c r="AB433" s="388"/>
      <c r="AC433" s="409">
        <f t="shared" si="96"/>
        <v>38488</v>
      </c>
      <c r="AD433" s="388"/>
      <c r="AE433" s="388"/>
      <c r="AF433" s="388"/>
    </row>
    <row r="434" spans="1:32" outlineLevel="2" x14ac:dyDescent="0.2">
      <c r="A434" s="391">
        <f t="shared" si="87"/>
        <v>432</v>
      </c>
      <c r="B434" s="392" t="s">
        <v>888</v>
      </c>
      <c r="C434" s="393" t="s">
        <v>921</v>
      </c>
      <c r="D434" s="394">
        <v>5321</v>
      </c>
      <c r="E434" s="393">
        <v>6121</v>
      </c>
      <c r="F434" s="427" t="s">
        <v>490</v>
      </c>
      <c r="G434" s="394" t="s">
        <v>925</v>
      </c>
      <c r="H434" s="394">
        <v>2016</v>
      </c>
      <c r="I434" s="394">
        <v>2019</v>
      </c>
      <c r="J434" s="396"/>
      <c r="K434" s="396"/>
      <c r="L434" s="397"/>
      <c r="M434" s="398"/>
      <c r="N434" s="398">
        <v>53</v>
      </c>
      <c r="O434" s="396">
        <v>52</v>
      </c>
      <c r="P434" s="399">
        <f t="shared" si="88"/>
        <v>0.98113207547169812</v>
      </c>
      <c r="Q434" s="398"/>
      <c r="R434" s="400"/>
      <c r="S434" s="401"/>
      <c r="T434" s="402" t="s">
        <v>891</v>
      </c>
      <c r="U434" s="454"/>
      <c r="V434" s="404">
        <f t="shared" si="77"/>
        <v>-53</v>
      </c>
      <c r="W434" s="405" t="str">
        <f>IF(AND(P434&lt;[3]koment!$F$1,N434&gt;=[3]koment!$F$2),"Komentovat","")</f>
        <v/>
      </c>
      <c r="X434" s="406">
        <f t="shared" si="91"/>
        <v>45</v>
      </c>
      <c r="Y434" s="404">
        <f t="shared" si="78"/>
        <v>7200</v>
      </c>
      <c r="Z434" s="407" t="str">
        <f t="shared" si="79"/>
        <v>ORG 5321 - Zařízení se zvláštním režimem, Mostecká 10, Brno</v>
      </c>
      <c r="AA434" s="408" t="str">
        <f t="shared" si="80"/>
        <v>7200435753216121EU</v>
      </c>
      <c r="AB434" s="388"/>
      <c r="AC434" s="409">
        <f t="shared" si="96"/>
        <v>-53</v>
      </c>
      <c r="AD434" s="388"/>
      <c r="AE434" s="388"/>
      <c r="AF434" s="388"/>
    </row>
    <row r="435" spans="1:32" outlineLevel="2" x14ac:dyDescent="0.2">
      <c r="A435" s="391">
        <f t="shared" si="87"/>
        <v>433</v>
      </c>
      <c r="B435" s="392" t="s">
        <v>420</v>
      </c>
      <c r="C435" s="393" t="s">
        <v>921</v>
      </c>
      <c r="D435" s="394">
        <v>5323</v>
      </c>
      <c r="E435" s="393">
        <v>6121</v>
      </c>
      <c r="F435" s="427" t="s">
        <v>490</v>
      </c>
      <c r="G435" s="426" t="s">
        <v>926</v>
      </c>
      <c r="H435" s="394">
        <v>2016</v>
      </c>
      <c r="I435" s="394">
        <v>2019</v>
      </c>
      <c r="J435" s="396">
        <v>77200</v>
      </c>
      <c r="K435" s="396"/>
      <c r="L435" s="397"/>
      <c r="M435" s="398"/>
      <c r="N435" s="398">
        <v>2000</v>
      </c>
      <c r="O435" s="396"/>
      <c r="P435" s="399">
        <f t="shared" si="88"/>
        <v>0</v>
      </c>
      <c r="Q435" s="398">
        <v>2000</v>
      </c>
      <c r="R435" s="400"/>
      <c r="S435" s="401"/>
      <c r="T435" s="402" t="s">
        <v>423</v>
      </c>
      <c r="U435" s="454"/>
      <c r="V435" s="404">
        <f t="shared" si="77"/>
        <v>73200</v>
      </c>
      <c r="W435" s="405" t="str">
        <f>IF(AND(P435&lt;[3]koment!$F$1,N435&gt;=[3]koment!$F$2),"Komentovat","")</f>
        <v>Komentovat</v>
      </c>
      <c r="X435" s="406">
        <f t="shared" si="91"/>
        <v>46</v>
      </c>
      <c r="Y435" s="404">
        <f t="shared" si="78"/>
        <v>5600</v>
      </c>
      <c r="Z435" s="407" t="str">
        <f t="shared" si="79"/>
        <v>ORG 5323 - Zařízení sociálních služeb - odlehčovací služba a domov se zvláštním režimem Charbulova</v>
      </c>
      <c r="AA435" s="408" t="str">
        <f t="shared" si="80"/>
        <v>5600435753236121EU</v>
      </c>
      <c r="AB435" s="388"/>
      <c r="AC435" s="409">
        <f t="shared" si="96"/>
        <v>73200</v>
      </c>
      <c r="AD435" s="388"/>
      <c r="AE435" s="388"/>
      <c r="AF435" s="388"/>
    </row>
    <row r="436" spans="1:32" outlineLevel="2" x14ac:dyDescent="0.2">
      <c r="A436" s="391">
        <f t="shared" si="87"/>
        <v>434</v>
      </c>
      <c r="B436" s="392" t="s">
        <v>888</v>
      </c>
      <c r="C436" s="393" t="s">
        <v>921</v>
      </c>
      <c r="D436" s="394">
        <v>30059132</v>
      </c>
      <c r="E436" s="393">
        <v>6351</v>
      </c>
      <c r="F436" s="395"/>
      <c r="G436" s="394" t="s">
        <v>927</v>
      </c>
      <c r="H436" s="394"/>
      <c r="I436" s="394"/>
      <c r="J436" s="396"/>
      <c r="K436" s="396"/>
      <c r="L436" s="397"/>
      <c r="M436" s="398"/>
      <c r="N436" s="398">
        <v>140</v>
      </c>
      <c r="O436" s="396">
        <v>125</v>
      </c>
      <c r="P436" s="399">
        <f t="shared" si="88"/>
        <v>0.8928571428571429</v>
      </c>
      <c r="Q436" s="398"/>
      <c r="R436" s="400"/>
      <c r="S436" s="401"/>
      <c r="T436" s="402" t="s">
        <v>923</v>
      </c>
      <c r="U436" s="454"/>
      <c r="V436" s="404">
        <f t="shared" ref="V436:V481" si="100">IF(LEN($D436)=4,(J436-L436-N436-Q436-R436-S436),0)</f>
        <v>0</v>
      </c>
      <c r="W436" s="405" t="str">
        <f>IF(AND(P436&lt;[3]koment!$F$1,N436&gt;=[3]koment!$F$2),"Komentovat","")</f>
        <v/>
      </c>
      <c r="X436" s="406">
        <f t="shared" si="91"/>
        <v>46</v>
      </c>
      <c r="Y436" s="404" t="str">
        <f t="shared" ref="Y436:Y481" si="101">IF($V436=0," ",IF(LEN($B436)=4,$B436*1,$B436))</f>
        <v xml:space="preserve"> </v>
      </c>
      <c r="Z436" s="407">
        <f t="shared" ref="Z436:Z481" si="102">IF($Y436=" ",0,"ORG "&amp;$D436&amp;" - "&amp;$G436)</f>
        <v>0</v>
      </c>
      <c r="AA436" s="408" t="str">
        <f t="shared" ref="AA436:AA481" si="103">$B436&amp;LEFT($C436,4)&amp;$D436&amp;$E436&amp;$F436</f>
        <v>72004357300591326351</v>
      </c>
      <c r="AB436" s="388"/>
      <c r="AC436" s="409">
        <f t="shared" si="96"/>
        <v>0</v>
      </c>
      <c r="AD436" s="388"/>
      <c r="AE436" s="388"/>
      <c r="AF436" s="388"/>
    </row>
    <row r="437" spans="1:32" outlineLevel="2" x14ac:dyDescent="0.2">
      <c r="A437" s="391">
        <f t="shared" si="87"/>
        <v>435</v>
      </c>
      <c r="B437" s="392" t="s">
        <v>888</v>
      </c>
      <c r="C437" s="393" t="s">
        <v>921</v>
      </c>
      <c r="D437" s="394">
        <v>30059133</v>
      </c>
      <c r="E437" s="393">
        <v>6351</v>
      </c>
      <c r="F437" s="395"/>
      <c r="G437" s="394" t="s">
        <v>928</v>
      </c>
      <c r="H437" s="394"/>
      <c r="I437" s="394"/>
      <c r="J437" s="396"/>
      <c r="K437" s="396"/>
      <c r="L437" s="420">
        <v>4303</v>
      </c>
      <c r="M437" s="398">
        <v>1530</v>
      </c>
      <c r="N437" s="398">
        <v>1530</v>
      </c>
      <c r="O437" s="396">
        <v>1529</v>
      </c>
      <c r="P437" s="399">
        <f t="shared" si="88"/>
        <v>0.99934640522875817</v>
      </c>
      <c r="Q437" s="398">
        <v>255</v>
      </c>
      <c r="R437" s="400"/>
      <c r="S437" s="401"/>
      <c r="T437" s="402" t="s">
        <v>929</v>
      </c>
      <c r="U437" s="454"/>
      <c r="V437" s="404">
        <f t="shared" si="100"/>
        <v>0</v>
      </c>
      <c r="W437" s="405" t="str">
        <f>IF(AND(P437&lt;[3]koment!$F$1,N437&gt;=[3]koment!$F$2),"Komentovat","")</f>
        <v/>
      </c>
      <c r="X437" s="406">
        <f t="shared" si="91"/>
        <v>46</v>
      </c>
      <c r="Y437" s="404" t="str">
        <f t="shared" si="101"/>
        <v xml:space="preserve"> </v>
      </c>
      <c r="Z437" s="407">
        <f t="shared" si="102"/>
        <v>0</v>
      </c>
      <c r="AA437" s="408" t="str">
        <f t="shared" si="103"/>
        <v>72004357300591336351</v>
      </c>
      <c r="AB437" s="388"/>
      <c r="AC437" s="409">
        <f t="shared" si="96"/>
        <v>0</v>
      </c>
      <c r="AD437" s="388"/>
      <c r="AE437" s="388"/>
      <c r="AF437" s="388"/>
    </row>
    <row r="438" spans="1:32" outlineLevel="1" x14ac:dyDescent="0.2">
      <c r="A438" s="391">
        <f t="shared" si="87"/>
        <v>436</v>
      </c>
      <c r="B438" s="392"/>
      <c r="C438" s="424" t="s">
        <v>930</v>
      </c>
      <c r="D438" s="394"/>
      <c r="E438" s="393"/>
      <c r="F438" s="395"/>
      <c r="G438" s="394"/>
      <c r="H438" s="394"/>
      <c r="I438" s="394"/>
      <c r="J438" s="396">
        <f t="shared" ref="J438:O438" si="104">SUBTOTAL(9,J431:J437)</f>
        <v>170045</v>
      </c>
      <c r="K438" s="396">
        <f t="shared" si="104"/>
        <v>39049</v>
      </c>
      <c r="L438" s="420">
        <f t="shared" si="104"/>
        <v>48420</v>
      </c>
      <c r="M438" s="398">
        <f t="shared" si="104"/>
        <v>1530</v>
      </c>
      <c r="N438" s="398">
        <f t="shared" si="104"/>
        <v>6110</v>
      </c>
      <c r="O438" s="396">
        <f t="shared" si="104"/>
        <v>3033</v>
      </c>
      <c r="P438" s="399">
        <f t="shared" si="88"/>
        <v>0.49639934533551555</v>
      </c>
      <c r="Q438" s="398">
        <f>SUBTOTAL(9,Q431:Q437)</f>
        <v>3255</v>
      </c>
      <c r="R438" s="400">
        <f>SUBTOTAL(9,R431:R437)</f>
        <v>0</v>
      </c>
      <c r="S438" s="401">
        <f>SUBTOTAL(9,S431:S437)</f>
        <v>0</v>
      </c>
      <c r="T438" s="402"/>
      <c r="U438" s="454"/>
      <c r="V438" s="404"/>
      <c r="W438" s="405"/>
      <c r="X438" s="406"/>
      <c r="Y438" s="404" t="str">
        <f>IF($V438=0," ",IF(LEN($B438)=4,$B438*1,$B438))</f>
        <v xml:space="preserve"> </v>
      </c>
      <c r="Z438" s="407">
        <f>IF($Y438=" ",0,"ORG "&amp;$D438&amp;" - "&amp;$G438)</f>
        <v>0</v>
      </c>
      <c r="AA438" s="408" t="str">
        <f>$B438&amp;LEFT($C438,4)&amp;$D438&amp;$E438&amp;$F438</f>
        <v>Celk</v>
      </c>
      <c r="AB438" s="388"/>
      <c r="AC438" s="409"/>
      <c r="AD438" s="388"/>
      <c r="AE438" s="388"/>
      <c r="AF438" s="388"/>
    </row>
    <row r="439" spans="1:32" outlineLevel="2" x14ac:dyDescent="0.2">
      <c r="A439" s="391">
        <f t="shared" si="87"/>
        <v>437</v>
      </c>
      <c r="B439" s="392" t="s">
        <v>888</v>
      </c>
      <c r="C439" s="429" t="s">
        <v>931</v>
      </c>
      <c r="D439" s="394">
        <v>30059130</v>
      </c>
      <c r="E439" s="393">
        <v>6351</v>
      </c>
      <c r="F439" s="395"/>
      <c r="G439" s="394" t="s">
        <v>932</v>
      </c>
      <c r="H439" s="394"/>
      <c r="I439" s="394"/>
      <c r="J439" s="396"/>
      <c r="K439" s="396"/>
      <c r="L439" s="397">
        <v>2809</v>
      </c>
      <c r="M439" s="398">
        <v>520</v>
      </c>
      <c r="N439" s="398">
        <v>520</v>
      </c>
      <c r="O439" s="396">
        <v>500</v>
      </c>
      <c r="P439" s="399">
        <f t="shared" si="88"/>
        <v>0.96153846153846156</v>
      </c>
      <c r="Q439" s="398">
        <v>800</v>
      </c>
      <c r="R439" s="400"/>
      <c r="S439" s="401"/>
      <c r="T439" s="402" t="s">
        <v>933</v>
      </c>
      <c r="U439" s="454"/>
      <c r="V439" s="404">
        <f t="shared" si="100"/>
        <v>0</v>
      </c>
      <c r="W439" s="405" t="str">
        <f>IF(AND(P439&lt;[3]koment!$F$1,N439&gt;=[3]koment!$F$2),"Komentovat","")</f>
        <v/>
      </c>
      <c r="X439" s="406">
        <f>IF(W439="Komentovat",X437+1,X437)</f>
        <v>46</v>
      </c>
      <c r="Y439" s="404" t="str">
        <f t="shared" si="101"/>
        <v xml:space="preserve"> </v>
      </c>
      <c r="Z439" s="407">
        <f t="shared" si="102"/>
        <v>0</v>
      </c>
      <c r="AA439" s="408" t="str">
        <f t="shared" si="103"/>
        <v>72004374300591306351</v>
      </c>
      <c r="AB439" s="388"/>
      <c r="AC439" s="409">
        <f t="shared" si="96"/>
        <v>0</v>
      </c>
      <c r="AD439" s="388"/>
      <c r="AE439" s="388"/>
      <c r="AF439" s="388"/>
    </row>
    <row r="440" spans="1:32" outlineLevel="1" x14ac:dyDescent="0.2">
      <c r="A440" s="391">
        <f t="shared" si="87"/>
        <v>438</v>
      </c>
      <c r="B440" s="392"/>
      <c r="C440" s="432" t="s">
        <v>934</v>
      </c>
      <c r="D440" s="394"/>
      <c r="E440" s="393"/>
      <c r="F440" s="395"/>
      <c r="G440" s="394"/>
      <c r="H440" s="394"/>
      <c r="I440" s="394"/>
      <c r="J440" s="396">
        <f t="shared" ref="J440:O440" si="105">SUBTOTAL(9,J439:J439)</f>
        <v>0</v>
      </c>
      <c r="K440" s="396">
        <f t="shared" si="105"/>
        <v>0</v>
      </c>
      <c r="L440" s="397">
        <f t="shared" si="105"/>
        <v>2809</v>
      </c>
      <c r="M440" s="398">
        <f t="shared" si="105"/>
        <v>520</v>
      </c>
      <c r="N440" s="398">
        <f t="shared" si="105"/>
        <v>520</v>
      </c>
      <c r="O440" s="396">
        <f t="shared" si="105"/>
        <v>500</v>
      </c>
      <c r="P440" s="399">
        <f t="shared" si="88"/>
        <v>0.96153846153846156</v>
      </c>
      <c r="Q440" s="398">
        <f>SUBTOTAL(9,Q439:Q439)</f>
        <v>800</v>
      </c>
      <c r="R440" s="400">
        <f>SUBTOTAL(9,R439:R439)</f>
        <v>0</v>
      </c>
      <c r="S440" s="401">
        <f>SUBTOTAL(9,S439:S439)</f>
        <v>0</v>
      </c>
      <c r="T440" s="402"/>
      <c r="U440" s="454"/>
      <c r="V440" s="404"/>
      <c r="W440" s="405"/>
      <c r="X440" s="406"/>
      <c r="Y440" s="404" t="str">
        <f>IF($V440=0," ",IF(LEN($B440)=4,$B440*1,$B440))</f>
        <v xml:space="preserve"> </v>
      </c>
      <c r="Z440" s="407">
        <f>IF($Y440=" ",0,"ORG "&amp;$D440&amp;" - "&amp;$G440)</f>
        <v>0</v>
      </c>
      <c r="AA440" s="408" t="str">
        <f>$B440&amp;LEFT($C440,4)&amp;$D440&amp;$E440&amp;$F440</f>
        <v>Celk</v>
      </c>
      <c r="AB440" s="388"/>
      <c r="AC440" s="409"/>
      <c r="AD440" s="388"/>
      <c r="AE440" s="388"/>
      <c r="AF440" s="388"/>
    </row>
    <row r="441" spans="1:32" outlineLevel="2" x14ac:dyDescent="0.2">
      <c r="A441" s="391">
        <f t="shared" si="87"/>
        <v>439</v>
      </c>
      <c r="B441" s="392" t="s">
        <v>935</v>
      </c>
      <c r="C441" s="393" t="s">
        <v>936</v>
      </c>
      <c r="D441" s="394">
        <v>301000</v>
      </c>
      <c r="E441" s="393">
        <v>6122</v>
      </c>
      <c r="F441" s="395"/>
      <c r="G441" s="426" t="s">
        <v>937</v>
      </c>
      <c r="H441" s="394"/>
      <c r="I441" s="394"/>
      <c r="J441" s="396"/>
      <c r="K441" s="396"/>
      <c r="L441" s="397"/>
      <c r="M441" s="398">
        <v>200</v>
      </c>
      <c r="N441" s="398">
        <v>200</v>
      </c>
      <c r="O441" s="396">
        <v>133</v>
      </c>
      <c r="P441" s="399">
        <f t="shared" si="88"/>
        <v>0.66500000000000004</v>
      </c>
      <c r="Q441" s="398"/>
      <c r="R441" s="400"/>
      <c r="S441" s="401"/>
      <c r="T441" s="402" t="s">
        <v>938</v>
      </c>
      <c r="U441" s="454"/>
      <c r="V441" s="404">
        <f t="shared" si="100"/>
        <v>0</v>
      </c>
      <c r="W441" s="405" t="str">
        <f>IF(AND(P441&lt;[3]koment!$F$1,N441&gt;=[3]koment!$F$2),"Komentovat","")</f>
        <v/>
      </c>
      <c r="X441" s="406">
        <f>IF(W441="Komentovat",X439+1,X439)</f>
        <v>46</v>
      </c>
      <c r="Y441" s="404" t="str">
        <f t="shared" si="101"/>
        <v xml:space="preserve"> </v>
      </c>
      <c r="Z441" s="407">
        <f t="shared" si="102"/>
        <v>0</v>
      </c>
      <c r="AA441" s="408" t="str">
        <f t="shared" si="103"/>
        <v>360052733010006122</v>
      </c>
      <c r="AB441" s="388"/>
      <c r="AC441" s="409">
        <f t="shared" si="96"/>
        <v>0</v>
      </c>
      <c r="AD441" s="388"/>
      <c r="AE441" s="388"/>
      <c r="AF441" s="388"/>
    </row>
    <row r="442" spans="1:32" outlineLevel="1" x14ac:dyDescent="0.2">
      <c r="A442" s="391">
        <f t="shared" si="87"/>
        <v>440</v>
      </c>
      <c r="B442" s="392"/>
      <c r="C442" s="424" t="s">
        <v>939</v>
      </c>
      <c r="D442" s="394"/>
      <c r="E442" s="393"/>
      <c r="F442" s="395"/>
      <c r="G442" s="426"/>
      <c r="H442" s="394"/>
      <c r="I442" s="394"/>
      <c r="J442" s="396">
        <f t="shared" ref="J442:O442" si="106">SUBTOTAL(9,J441:J441)</f>
        <v>0</v>
      </c>
      <c r="K442" s="396">
        <f t="shared" si="106"/>
        <v>0</v>
      </c>
      <c r="L442" s="397">
        <f t="shared" si="106"/>
        <v>0</v>
      </c>
      <c r="M442" s="398">
        <f t="shared" si="106"/>
        <v>200</v>
      </c>
      <c r="N442" s="398">
        <f t="shared" si="106"/>
        <v>200</v>
      </c>
      <c r="O442" s="396">
        <f t="shared" si="106"/>
        <v>133</v>
      </c>
      <c r="P442" s="399">
        <f t="shared" si="88"/>
        <v>0.66500000000000004</v>
      </c>
      <c r="Q442" s="398">
        <f>SUBTOTAL(9,Q441:Q441)</f>
        <v>0</v>
      </c>
      <c r="R442" s="400">
        <f>SUBTOTAL(9,R441:R441)</f>
        <v>0</v>
      </c>
      <c r="S442" s="401">
        <f>SUBTOTAL(9,S441:S441)</f>
        <v>0</v>
      </c>
      <c r="T442" s="402"/>
      <c r="U442" s="454"/>
      <c r="V442" s="404"/>
      <c r="W442" s="405"/>
      <c r="X442" s="406"/>
      <c r="Y442" s="404" t="str">
        <f>IF($V442=0," ",IF(LEN($B442)=4,$B442*1,$B442))</f>
        <v xml:space="preserve"> </v>
      </c>
      <c r="Z442" s="407">
        <f>IF($Y442=" ",0,"ORG "&amp;$D442&amp;" - "&amp;$G442)</f>
        <v>0</v>
      </c>
      <c r="AA442" s="408" t="str">
        <f>$B442&amp;LEFT($C442,4)&amp;$D442&amp;$E442&amp;$F442</f>
        <v>Celk</v>
      </c>
      <c r="AB442" s="388"/>
      <c r="AC442" s="409"/>
      <c r="AD442" s="388"/>
      <c r="AE442" s="388"/>
      <c r="AF442" s="388"/>
    </row>
    <row r="443" spans="1:32" outlineLevel="2" x14ac:dyDescent="0.2">
      <c r="A443" s="391">
        <f t="shared" si="87"/>
        <v>441</v>
      </c>
      <c r="B443" s="392">
        <v>8200</v>
      </c>
      <c r="C443" s="393" t="s">
        <v>940</v>
      </c>
      <c r="D443" s="394">
        <v>2667</v>
      </c>
      <c r="E443" s="393">
        <v>6121</v>
      </c>
      <c r="F443" s="395">
        <v>82</v>
      </c>
      <c r="G443" s="394" t="s">
        <v>941</v>
      </c>
      <c r="H443" s="394">
        <v>2016</v>
      </c>
      <c r="I443" s="394">
        <v>2017</v>
      </c>
      <c r="J443" s="396">
        <v>329</v>
      </c>
      <c r="K443" s="396"/>
      <c r="L443" s="397"/>
      <c r="M443" s="398"/>
      <c r="N443" s="398">
        <v>113</v>
      </c>
      <c r="O443" s="396">
        <v>108</v>
      </c>
      <c r="P443" s="399">
        <f t="shared" si="88"/>
        <v>0.95575221238938057</v>
      </c>
      <c r="Q443" s="398">
        <v>216</v>
      </c>
      <c r="R443" s="400"/>
      <c r="S443" s="401"/>
      <c r="T443" s="402" t="s">
        <v>942</v>
      </c>
      <c r="U443" s="454"/>
      <c r="V443" s="404">
        <f t="shared" si="100"/>
        <v>0</v>
      </c>
      <c r="W443" s="405" t="str">
        <f>IF(AND(P443&lt;[3]koment!$F$1,N443&gt;=[3]koment!$F$2),"Komentovat","")</f>
        <v/>
      </c>
      <c r="X443" s="406">
        <f>IF(W443="Komentovat",X441+1,X441)</f>
        <v>46</v>
      </c>
      <c r="Y443" s="404" t="str">
        <f t="shared" si="101"/>
        <v xml:space="preserve"> </v>
      </c>
      <c r="Z443" s="407">
        <f t="shared" si="102"/>
        <v>0</v>
      </c>
      <c r="AA443" s="408" t="str">
        <f t="shared" si="103"/>
        <v>820053112667612182</v>
      </c>
      <c r="AB443" s="388"/>
      <c r="AC443" s="409">
        <f t="shared" si="96"/>
        <v>0</v>
      </c>
      <c r="AD443" s="388"/>
      <c r="AE443" s="388"/>
      <c r="AF443" s="388"/>
    </row>
    <row r="444" spans="1:32" outlineLevel="2" x14ac:dyDescent="0.2">
      <c r="A444" s="391">
        <f t="shared" si="87"/>
        <v>442</v>
      </c>
      <c r="B444" s="392" t="s">
        <v>943</v>
      </c>
      <c r="C444" s="393" t="s">
        <v>940</v>
      </c>
      <c r="D444" s="394">
        <v>2678</v>
      </c>
      <c r="E444" s="393">
        <v>6121</v>
      </c>
      <c r="F444" s="395"/>
      <c r="G444" s="394" t="s">
        <v>944</v>
      </c>
      <c r="H444" s="394">
        <v>2015</v>
      </c>
      <c r="I444" s="394">
        <v>2016</v>
      </c>
      <c r="J444" s="396">
        <v>4444</v>
      </c>
      <c r="K444" s="396"/>
      <c r="L444" s="397">
        <v>104</v>
      </c>
      <c r="M444" s="398">
        <v>2486</v>
      </c>
      <c r="N444" s="398">
        <v>4339</v>
      </c>
      <c r="O444" s="396">
        <v>4308</v>
      </c>
      <c r="P444" s="399">
        <f t="shared" si="88"/>
        <v>0.99285549665821615</v>
      </c>
      <c r="Q444" s="398"/>
      <c r="R444" s="400"/>
      <c r="S444" s="401"/>
      <c r="T444" s="402" t="s">
        <v>942</v>
      </c>
      <c r="U444" s="463"/>
      <c r="V444" s="404">
        <f t="shared" si="100"/>
        <v>1</v>
      </c>
      <c r="W444" s="405" t="str">
        <f>IF(AND(P444&lt;[3]koment!$F$1,N444&gt;=[3]koment!$F$2),"Komentovat","")</f>
        <v/>
      </c>
      <c r="X444" s="406">
        <f t="shared" si="91"/>
        <v>46</v>
      </c>
      <c r="Y444" s="404">
        <f t="shared" si="101"/>
        <v>8200</v>
      </c>
      <c r="Z444" s="407" t="str">
        <f t="shared" si="102"/>
        <v>ORG 2678 - MP Brno - školící objekt ŠRS Sykovec</v>
      </c>
      <c r="AA444" s="408" t="str">
        <f t="shared" si="103"/>
        <v>8200531126786121</v>
      </c>
      <c r="AB444" s="388"/>
      <c r="AC444" s="409">
        <f t="shared" si="96"/>
        <v>1</v>
      </c>
      <c r="AD444" s="388"/>
      <c r="AE444" s="388"/>
      <c r="AF444" s="388"/>
    </row>
    <row r="445" spans="1:32" outlineLevel="2" x14ac:dyDescent="0.2">
      <c r="A445" s="391">
        <f t="shared" si="87"/>
        <v>443</v>
      </c>
      <c r="B445" s="422" t="s">
        <v>420</v>
      </c>
      <c r="C445" s="393" t="s">
        <v>940</v>
      </c>
      <c r="D445" s="393">
        <v>3060</v>
      </c>
      <c r="E445" s="393">
        <v>6121</v>
      </c>
      <c r="F445" s="402"/>
      <c r="G445" s="394" t="s">
        <v>945</v>
      </c>
      <c r="H445" s="423">
        <v>2009</v>
      </c>
      <c r="I445" s="423">
        <v>2017</v>
      </c>
      <c r="J445" s="420">
        <v>37314</v>
      </c>
      <c r="K445" s="420"/>
      <c r="L445" s="420">
        <v>19181</v>
      </c>
      <c r="M445" s="421">
        <v>18100</v>
      </c>
      <c r="N445" s="421">
        <v>13000</v>
      </c>
      <c r="O445" s="420">
        <v>11960</v>
      </c>
      <c r="P445" s="399">
        <f t="shared" si="88"/>
        <v>0.92</v>
      </c>
      <c r="Q445" s="421">
        <v>1000</v>
      </c>
      <c r="R445" s="400"/>
      <c r="S445" s="401"/>
      <c r="T445" s="402" t="s">
        <v>423</v>
      </c>
      <c r="U445" s="463"/>
      <c r="V445" s="404">
        <f t="shared" si="100"/>
        <v>4133</v>
      </c>
      <c r="W445" s="405" t="str">
        <f>IF(AND(P445&lt;[3]koment!$F$1,N445&gt;=[3]koment!$F$2),"Komentovat","")</f>
        <v/>
      </c>
      <c r="X445" s="406">
        <f t="shared" si="91"/>
        <v>46</v>
      </c>
      <c r="Y445" s="404">
        <f t="shared" si="101"/>
        <v>5600</v>
      </c>
      <c r="Z445" s="407" t="str">
        <f t="shared" si="102"/>
        <v>ORG 3060 - Rekonstrukce objektu na služebnu MP Brno-západ</v>
      </c>
      <c r="AA445" s="408" t="str">
        <f t="shared" si="103"/>
        <v>5600531130606121</v>
      </c>
      <c r="AB445" s="388"/>
      <c r="AC445" s="409">
        <f t="shared" si="96"/>
        <v>4133</v>
      </c>
      <c r="AD445" s="388"/>
      <c r="AE445" s="388"/>
      <c r="AF445" s="388"/>
    </row>
    <row r="446" spans="1:32" outlineLevel="2" x14ac:dyDescent="0.2">
      <c r="A446" s="391">
        <f t="shared" si="87"/>
        <v>444</v>
      </c>
      <c r="B446" s="392" t="s">
        <v>668</v>
      </c>
      <c r="C446" s="393" t="s">
        <v>940</v>
      </c>
      <c r="D446" s="394">
        <v>5319</v>
      </c>
      <c r="E446" s="393">
        <v>6122</v>
      </c>
      <c r="F446" s="427" t="s">
        <v>490</v>
      </c>
      <c r="G446" s="394" t="s">
        <v>946</v>
      </c>
      <c r="H446" s="394">
        <v>2016</v>
      </c>
      <c r="I446" s="394">
        <v>2017</v>
      </c>
      <c r="J446" s="396">
        <v>10082</v>
      </c>
      <c r="K446" s="396"/>
      <c r="L446" s="397"/>
      <c r="M446" s="398"/>
      <c r="N446" s="398">
        <v>60</v>
      </c>
      <c r="O446" s="396">
        <v>52</v>
      </c>
      <c r="P446" s="399">
        <f t="shared" si="88"/>
        <v>0.8666666666666667</v>
      </c>
      <c r="Q446" s="398"/>
      <c r="R446" s="400"/>
      <c r="S446" s="401"/>
      <c r="T446" s="402" t="s">
        <v>669</v>
      </c>
      <c r="U446" s="454"/>
      <c r="V446" s="404">
        <f t="shared" si="100"/>
        <v>10022</v>
      </c>
      <c r="W446" s="405" t="str">
        <f>IF(AND(P446&lt;[3]koment!$F$1,N446&gt;=[3]koment!$F$2),"Komentovat","")</f>
        <v/>
      </c>
      <c r="X446" s="406">
        <f t="shared" si="91"/>
        <v>46</v>
      </c>
      <c r="Y446" s="404">
        <f t="shared" si="101"/>
        <v>5900</v>
      </c>
      <c r="Z446" s="407" t="str">
        <f t="shared" si="102"/>
        <v>ORG 5319 - Modernizace radiové sítě a informačního systému MHD</v>
      </c>
      <c r="AA446" s="408" t="str">
        <f t="shared" si="103"/>
        <v>5900531153196122EU</v>
      </c>
      <c r="AB446" s="388"/>
      <c r="AC446" s="409">
        <f t="shared" si="96"/>
        <v>10022</v>
      </c>
      <c r="AD446" s="388"/>
      <c r="AE446" s="388"/>
      <c r="AF446" s="388"/>
    </row>
    <row r="447" spans="1:32" outlineLevel="2" x14ac:dyDescent="0.2">
      <c r="A447" s="391">
        <f t="shared" si="87"/>
        <v>445</v>
      </c>
      <c r="B447" s="392" t="s">
        <v>943</v>
      </c>
      <c r="C447" s="393" t="s">
        <v>940</v>
      </c>
      <c r="D447" s="394">
        <v>5319</v>
      </c>
      <c r="E447" s="393">
        <v>6122</v>
      </c>
      <c r="F447" s="427" t="s">
        <v>490</v>
      </c>
      <c r="G447" s="394" t="s">
        <v>946</v>
      </c>
      <c r="H447" s="394">
        <v>2016</v>
      </c>
      <c r="I447" s="394">
        <v>2017</v>
      </c>
      <c r="J447" s="396"/>
      <c r="K447" s="396"/>
      <c r="L447" s="397"/>
      <c r="M447" s="398"/>
      <c r="N447" s="398">
        <v>200</v>
      </c>
      <c r="O447" s="396">
        <v>56</v>
      </c>
      <c r="P447" s="399">
        <f t="shared" si="88"/>
        <v>0.28000000000000003</v>
      </c>
      <c r="Q447" s="398">
        <v>2000</v>
      </c>
      <c r="R447" s="400"/>
      <c r="S447" s="401"/>
      <c r="T447" s="402" t="s">
        <v>942</v>
      </c>
      <c r="U447" s="454"/>
      <c r="V447" s="404">
        <f t="shared" si="100"/>
        <v>-2200</v>
      </c>
      <c r="W447" s="405" t="str">
        <f>IF(AND(P447&lt;[3]koment!$F$1,N447&gt;=[3]koment!$F$2),"Komentovat","")</f>
        <v/>
      </c>
      <c r="X447" s="406">
        <f t="shared" si="91"/>
        <v>46</v>
      </c>
      <c r="Y447" s="404">
        <f t="shared" si="101"/>
        <v>8200</v>
      </c>
      <c r="Z447" s="407" t="str">
        <f t="shared" si="102"/>
        <v>ORG 5319 - Modernizace radiové sítě a informačního systému MHD</v>
      </c>
      <c r="AA447" s="408" t="str">
        <f t="shared" si="103"/>
        <v>8200531153196122EU</v>
      </c>
      <c r="AB447" s="388"/>
      <c r="AC447" s="409">
        <f t="shared" si="96"/>
        <v>-2200</v>
      </c>
      <c r="AD447" s="388"/>
      <c r="AE447" s="388"/>
      <c r="AF447" s="388"/>
    </row>
    <row r="448" spans="1:32" outlineLevel="2" x14ac:dyDescent="0.2">
      <c r="A448" s="391">
        <f t="shared" si="87"/>
        <v>446</v>
      </c>
      <c r="B448" s="392" t="s">
        <v>943</v>
      </c>
      <c r="C448" s="393" t="s">
        <v>940</v>
      </c>
      <c r="D448" s="394">
        <v>300800</v>
      </c>
      <c r="E448" s="393">
        <v>6111</v>
      </c>
      <c r="F448" s="395"/>
      <c r="G448" s="394" t="s">
        <v>947</v>
      </c>
      <c r="H448" s="394"/>
      <c r="I448" s="394"/>
      <c r="J448" s="396"/>
      <c r="K448" s="396"/>
      <c r="L448" s="397">
        <v>497</v>
      </c>
      <c r="M448" s="398">
        <v>600</v>
      </c>
      <c r="N448" s="398">
        <v>171</v>
      </c>
      <c r="O448" s="396">
        <v>171</v>
      </c>
      <c r="P448" s="399">
        <f t="shared" si="88"/>
        <v>1</v>
      </c>
      <c r="Q448" s="398">
        <v>1000</v>
      </c>
      <c r="R448" s="400"/>
      <c r="S448" s="401"/>
      <c r="T448" s="402" t="s">
        <v>942</v>
      </c>
      <c r="U448" s="454"/>
      <c r="V448" s="404">
        <f t="shared" si="100"/>
        <v>0</v>
      </c>
      <c r="W448" s="405" t="str">
        <f>IF(AND(P448&lt;[3]koment!$F$1,N448&gt;=[3]koment!$F$2),"Komentovat","")</f>
        <v/>
      </c>
      <c r="X448" s="406">
        <f t="shared" si="91"/>
        <v>46</v>
      </c>
      <c r="Y448" s="404" t="str">
        <f t="shared" si="101"/>
        <v xml:space="preserve"> </v>
      </c>
      <c r="Z448" s="407">
        <f t="shared" si="102"/>
        <v>0</v>
      </c>
      <c r="AA448" s="408" t="str">
        <f t="shared" si="103"/>
        <v>820053113008006111</v>
      </c>
      <c r="AB448" s="388"/>
      <c r="AC448" s="409">
        <f t="shared" si="96"/>
        <v>0</v>
      </c>
      <c r="AD448" s="388"/>
      <c r="AE448" s="388"/>
      <c r="AF448" s="388"/>
    </row>
    <row r="449" spans="1:32" outlineLevel="2" x14ac:dyDescent="0.2">
      <c r="A449" s="391">
        <f t="shared" si="87"/>
        <v>447</v>
      </c>
      <c r="B449" s="422" t="s">
        <v>943</v>
      </c>
      <c r="C449" s="393" t="s">
        <v>940</v>
      </c>
      <c r="D449" s="393">
        <v>300800</v>
      </c>
      <c r="E449" s="393">
        <v>6122</v>
      </c>
      <c r="F449" s="402"/>
      <c r="G449" s="394" t="s">
        <v>947</v>
      </c>
      <c r="H449" s="393"/>
      <c r="I449" s="393"/>
      <c r="J449" s="420"/>
      <c r="K449" s="420"/>
      <c r="L449" s="420">
        <v>44515</v>
      </c>
      <c r="M449" s="421">
        <v>650</v>
      </c>
      <c r="N449" s="421">
        <v>2014</v>
      </c>
      <c r="O449" s="420">
        <v>1988</v>
      </c>
      <c r="P449" s="399">
        <f t="shared" si="88"/>
        <v>0.98709036742800393</v>
      </c>
      <c r="Q449" s="421">
        <v>6500</v>
      </c>
      <c r="R449" s="400"/>
      <c r="S449" s="401"/>
      <c r="T449" s="402" t="s">
        <v>942</v>
      </c>
      <c r="U449" s="454"/>
      <c r="V449" s="404">
        <f t="shared" si="100"/>
        <v>0</v>
      </c>
      <c r="W449" s="405" t="str">
        <f>IF(AND(P449&lt;[3]koment!$F$1,N449&gt;=[3]koment!$F$2),"Komentovat","")</f>
        <v/>
      </c>
      <c r="X449" s="406">
        <f t="shared" si="91"/>
        <v>46</v>
      </c>
      <c r="Y449" s="404" t="str">
        <f t="shared" si="101"/>
        <v xml:space="preserve"> </v>
      </c>
      <c r="Z449" s="407">
        <f t="shared" si="102"/>
        <v>0</v>
      </c>
      <c r="AA449" s="408" t="str">
        <f t="shared" si="103"/>
        <v>820053113008006122</v>
      </c>
      <c r="AB449" s="388"/>
      <c r="AC449" s="409">
        <f t="shared" si="96"/>
        <v>0</v>
      </c>
      <c r="AD449" s="388"/>
      <c r="AE449" s="388"/>
      <c r="AF449" s="388"/>
    </row>
    <row r="450" spans="1:32" outlineLevel="2" x14ac:dyDescent="0.2">
      <c r="A450" s="391">
        <f t="shared" si="87"/>
        <v>448</v>
      </c>
      <c r="B450" s="392" t="s">
        <v>943</v>
      </c>
      <c r="C450" s="393" t="s">
        <v>940</v>
      </c>
      <c r="D450" s="394">
        <v>300800</v>
      </c>
      <c r="E450" s="393">
        <v>6123</v>
      </c>
      <c r="F450" s="395"/>
      <c r="G450" s="394" t="s">
        <v>947</v>
      </c>
      <c r="H450" s="394"/>
      <c r="I450" s="394"/>
      <c r="J450" s="396"/>
      <c r="K450" s="396"/>
      <c r="L450" s="397">
        <v>8664</v>
      </c>
      <c r="M450" s="398">
        <v>3500</v>
      </c>
      <c r="N450" s="398">
        <v>3916</v>
      </c>
      <c r="O450" s="396">
        <v>3916</v>
      </c>
      <c r="P450" s="399">
        <f t="shared" si="88"/>
        <v>1</v>
      </c>
      <c r="Q450" s="398"/>
      <c r="R450" s="400"/>
      <c r="S450" s="401"/>
      <c r="T450" s="402" t="s">
        <v>942</v>
      </c>
      <c r="U450" s="454"/>
      <c r="V450" s="404">
        <f t="shared" si="100"/>
        <v>0</v>
      </c>
      <c r="W450" s="405" t="str">
        <f>IF(AND(P450&lt;[3]koment!$F$1,N450&gt;=[3]koment!$F$2),"Komentovat","")</f>
        <v/>
      </c>
      <c r="X450" s="406">
        <f t="shared" si="91"/>
        <v>46</v>
      </c>
      <c r="Y450" s="404" t="str">
        <f t="shared" si="101"/>
        <v xml:space="preserve"> </v>
      </c>
      <c r="Z450" s="407">
        <f t="shared" si="102"/>
        <v>0</v>
      </c>
      <c r="AA450" s="408" t="str">
        <f t="shared" si="103"/>
        <v>820053113008006123</v>
      </c>
      <c r="AB450" s="388"/>
      <c r="AC450" s="409">
        <f t="shared" si="96"/>
        <v>0</v>
      </c>
      <c r="AD450" s="388"/>
      <c r="AE450" s="388"/>
      <c r="AF450" s="388"/>
    </row>
    <row r="451" spans="1:32" outlineLevel="2" x14ac:dyDescent="0.2">
      <c r="A451" s="391">
        <f t="shared" si="87"/>
        <v>449</v>
      </c>
      <c r="B451" s="392" t="s">
        <v>943</v>
      </c>
      <c r="C451" s="393" t="s">
        <v>940</v>
      </c>
      <c r="D451" s="394">
        <v>300800</v>
      </c>
      <c r="E451" s="393">
        <v>6125</v>
      </c>
      <c r="F451" s="395"/>
      <c r="G451" s="394" t="s">
        <v>947</v>
      </c>
      <c r="H451" s="394"/>
      <c r="I451" s="394"/>
      <c r="J451" s="396"/>
      <c r="K451" s="396"/>
      <c r="L451" s="397"/>
      <c r="M451" s="398"/>
      <c r="N451" s="398">
        <v>7321</v>
      </c>
      <c r="O451" s="396">
        <v>7321</v>
      </c>
      <c r="P451" s="399">
        <f t="shared" si="88"/>
        <v>1</v>
      </c>
      <c r="Q451" s="398"/>
      <c r="R451" s="400"/>
      <c r="S451" s="401"/>
      <c r="T451" s="402" t="s">
        <v>942</v>
      </c>
      <c r="U451" s="454"/>
      <c r="V451" s="404">
        <f t="shared" si="100"/>
        <v>0</v>
      </c>
      <c r="W451" s="405" t="str">
        <f>IF(AND(P451&lt;[3]koment!$F$1,N451&gt;=[3]koment!$F$2),"Komentovat","")</f>
        <v/>
      </c>
      <c r="X451" s="406">
        <f t="shared" si="91"/>
        <v>46</v>
      </c>
      <c r="Y451" s="404" t="str">
        <f t="shared" si="101"/>
        <v xml:space="preserve"> </v>
      </c>
      <c r="Z451" s="407">
        <f t="shared" si="102"/>
        <v>0</v>
      </c>
      <c r="AA451" s="408" t="str">
        <f t="shared" si="103"/>
        <v>820053113008006125</v>
      </c>
      <c r="AB451" s="388"/>
      <c r="AC451" s="409">
        <f t="shared" si="96"/>
        <v>0</v>
      </c>
      <c r="AD451" s="388"/>
      <c r="AE451" s="388"/>
      <c r="AF451" s="388"/>
    </row>
    <row r="452" spans="1:32" outlineLevel="1" x14ac:dyDescent="0.2">
      <c r="A452" s="391">
        <f t="shared" ref="A452:A483" si="107">ROW()-2</f>
        <v>450</v>
      </c>
      <c r="B452" s="392"/>
      <c r="C452" s="424" t="s">
        <v>948</v>
      </c>
      <c r="D452" s="394"/>
      <c r="E452" s="393"/>
      <c r="F452" s="395"/>
      <c r="G452" s="394"/>
      <c r="H452" s="394"/>
      <c r="I452" s="394"/>
      <c r="J452" s="396">
        <f t="shared" ref="J452:O452" si="108">SUBTOTAL(9,J443:J451)</f>
        <v>52169</v>
      </c>
      <c r="K452" s="396">
        <f t="shared" si="108"/>
        <v>0</v>
      </c>
      <c r="L452" s="397">
        <f t="shared" si="108"/>
        <v>72961</v>
      </c>
      <c r="M452" s="398">
        <f t="shared" si="108"/>
        <v>25336</v>
      </c>
      <c r="N452" s="398">
        <f t="shared" si="108"/>
        <v>31134</v>
      </c>
      <c r="O452" s="396">
        <f t="shared" si="108"/>
        <v>29880</v>
      </c>
      <c r="P452" s="399">
        <f t="shared" ref="P452:P483" si="109">IF(N452&lt;=0," ",O452/N452)</f>
        <v>0.95972248988244369</v>
      </c>
      <c r="Q452" s="398">
        <f>SUBTOTAL(9,Q443:Q451)</f>
        <v>10716</v>
      </c>
      <c r="R452" s="400">
        <f>SUBTOTAL(9,R443:R451)</f>
        <v>0</v>
      </c>
      <c r="S452" s="401">
        <f>SUBTOTAL(9,S443:S451)</f>
        <v>0</v>
      </c>
      <c r="T452" s="402"/>
      <c r="U452" s="454"/>
      <c r="V452" s="404"/>
      <c r="W452" s="405"/>
      <c r="X452" s="406"/>
      <c r="Y452" s="404" t="str">
        <f>IF($V452=0," ",IF(LEN($B452)=4,$B452*1,$B452))</f>
        <v xml:space="preserve"> </v>
      </c>
      <c r="Z452" s="407">
        <f>IF($Y452=" ",0,"ORG "&amp;$D452&amp;" - "&amp;$G452)</f>
        <v>0</v>
      </c>
      <c r="AA452" s="408" t="str">
        <f>$B452&amp;LEFT($C452,4)&amp;$D452&amp;$E452&amp;$F452</f>
        <v>Celk</v>
      </c>
      <c r="AB452" s="388"/>
      <c r="AC452" s="409"/>
      <c r="AD452" s="388"/>
      <c r="AE452" s="388"/>
      <c r="AF452" s="388"/>
    </row>
    <row r="453" spans="1:32" outlineLevel="2" x14ac:dyDescent="0.2">
      <c r="A453" s="391">
        <f t="shared" si="107"/>
        <v>451</v>
      </c>
      <c r="B453" s="392" t="s">
        <v>888</v>
      </c>
      <c r="C453" s="393" t="s">
        <v>949</v>
      </c>
      <c r="D453" s="394">
        <v>300599</v>
      </c>
      <c r="E453" s="393">
        <v>6322</v>
      </c>
      <c r="F453" s="395"/>
      <c r="G453" s="394" t="s">
        <v>950</v>
      </c>
      <c r="H453" s="394"/>
      <c r="I453" s="394"/>
      <c r="J453" s="396"/>
      <c r="K453" s="396"/>
      <c r="L453" s="397"/>
      <c r="M453" s="398"/>
      <c r="N453" s="398">
        <v>135</v>
      </c>
      <c r="O453" s="396">
        <v>135</v>
      </c>
      <c r="P453" s="399">
        <f t="shared" si="109"/>
        <v>1</v>
      </c>
      <c r="Q453" s="398"/>
      <c r="R453" s="400"/>
      <c r="S453" s="401"/>
      <c r="T453" s="402" t="s">
        <v>891</v>
      </c>
      <c r="U453" s="454"/>
      <c r="V453" s="404">
        <f t="shared" si="100"/>
        <v>0</v>
      </c>
      <c r="W453" s="405" t="str">
        <f>IF(AND(P453&lt;[3]koment!$F$1,N453&gt;=[3]koment!$F$2),"Komentovat","")</f>
        <v/>
      </c>
      <c r="X453" s="406">
        <f>IF(W453="Komentovat",X451+1,X451)</f>
        <v>46</v>
      </c>
      <c r="Y453" s="404" t="str">
        <f t="shared" si="101"/>
        <v xml:space="preserve"> </v>
      </c>
      <c r="Z453" s="407">
        <f t="shared" si="102"/>
        <v>0</v>
      </c>
      <c r="AA453" s="408" t="str">
        <f t="shared" si="103"/>
        <v>720053193005996322</v>
      </c>
      <c r="AB453" s="388"/>
      <c r="AC453" s="409">
        <f t="shared" si="96"/>
        <v>0</v>
      </c>
      <c r="AD453" s="388"/>
      <c r="AE453" s="388"/>
      <c r="AF453" s="388"/>
    </row>
    <row r="454" spans="1:32" outlineLevel="1" x14ac:dyDescent="0.2">
      <c r="A454" s="391">
        <f t="shared" si="107"/>
        <v>452</v>
      </c>
      <c r="B454" s="392"/>
      <c r="C454" s="424" t="s">
        <v>951</v>
      </c>
      <c r="D454" s="394"/>
      <c r="E454" s="393"/>
      <c r="F454" s="395"/>
      <c r="G454" s="394"/>
      <c r="H454" s="394"/>
      <c r="I454" s="394"/>
      <c r="J454" s="396">
        <f t="shared" ref="J454:O454" si="110">SUBTOTAL(9,J453:J453)</f>
        <v>0</v>
      </c>
      <c r="K454" s="396">
        <f t="shared" si="110"/>
        <v>0</v>
      </c>
      <c r="L454" s="397">
        <f t="shared" si="110"/>
        <v>0</v>
      </c>
      <c r="M454" s="398">
        <f t="shared" si="110"/>
        <v>0</v>
      </c>
      <c r="N454" s="398">
        <f t="shared" si="110"/>
        <v>135</v>
      </c>
      <c r="O454" s="396">
        <f t="shared" si="110"/>
        <v>135</v>
      </c>
      <c r="P454" s="399">
        <f t="shared" si="109"/>
        <v>1</v>
      </c>
      <c r="Q454" s="398">
        <f>SUBTOTAL(9,Q453:Q453)</f>
        <v>0</v>
      </c>
      <c r="R454" s="400">
        <f>SUBTOTAL(9,R453:R453)</f>
        <v>0</v>
      </c>
      <c r="S454" s="401">
        <f>SUBTOTAL(9,S453:S453)</f>
        <v>0</v>
      </c>
      <c r="T454" s="402"/>
      <c r="U454" s="454"/>
      <c r="V454" s="404"/>
      <c r="W454" s="405"/>
      <c r="X454" s="406"/>
      <c r="Y454" s="404" t="str">
        <f>IF($V454=0," ",IF(LEN($B454)=4,$B454*1,$B454))</f>
        <v xml:space="preserve"> </v>
      </c>
      <c r="Z454" s="407">
        <f>IF($Y454=" ",0,"ORG "&amp;$D454&amp;" - "&amp;$G454)</f>
        <v>0</v>
      </c>
      <c r="AA454" s="408" t="str">
        <f>$B454&amp;LEFT($C454,4)&amp;$D454&amp;$E454&amp;$F454</f>
        <v>Celk</v>
      </c>
      <c r="AB454" s="388"/>
      <c r="AC454" s="409"/>
      <c r="AD454" s="388"/>
      <c r="AE454" s="388"/>
      <c r="AF454" s="388"/>
    </row>
    <row r="455" spans="1:32" outlineLevel="2" x14ac:dyDescent="0.2">
      <c r="A455" s="391">
        <f t="shared" si="107"/>
        <v>453</v>
      </c>
      <c r="B455" s="392" t="s">
        <v>952</v>
      </c>
      <c r="C455" s="393" t="s">
        <v>953</v>
      </c>
      <c r="D455" s="394">
        <v>300099</v>
      </c>
      <c r="E455" s="393">
        <v>6339</v>
      </c>
      <c r="F455" s="395"/>
      <c r="G455" s="394" t="s">
        <v>954</v>
      </c>
      <c r="H455" s="394"/>
      <c r="I455" s="394"/>
      <c r="J455" s="396"/>
      <c r="K455" s="396"/>
      <c r="L455" s="397"/>
      <c r="M455" s="398"/>
      <c r="N455" s="398">
        <v>6000</v>
      </c>
      <c r="O455" s="396">
        <v>6000</v>
      </c>
      <c r="P455" s="399">
        <f t="shared" si="109"/>
        <v>1</v>
      </c>
      <c r="Q455" s="398">
        <v>7000</v>
      </c>
      <c r="R455" s="400"/>
      <c r="S455" s="401"/>
      <c r="T455" s="402" t="s">
        <v>955</v>
      </c>
      <c r="U455" s="454"/>
      <c r="V455" s="404">
        <f t="shared" si="100"/>
        <v>0</v>
      </c>
      <c r="W455" s="405" t="str">
        <f>IF(AND(P455&lt;[3]koment!$F$1,N455&gt;=[3]koment!$F$2),"Komentovat","")</f>
        <v/>
      </c>
      <c r="X455" s="406">
        <f>IF(W455="Komentovat",X453+1,X453)</f>
        <v>46</v>
      </c>
      <c r="Y455" s="404" t="str">
        <f t="shared" si="101"/>
        <v xml:space="preserve"> </v>
      </c>
      <c r="Z455" s="407">
        <f t="shared" si="102"/>
        <v>0</v>
      </c>
      <c r="AA455" s="408" t="str">
        <f t="shared" si="103"/>
        <v>320055113000996339</v>
      </c>
      <c r="AB455" s="388"/>
      <c r="AC455" s="409">
        <f t="shared" si="96"/>
        <v>0</v>
      </c>
      <c r="AD455" s="388"/>
      <c r="AE455" s="388"/>
      <c r="AF455" s="388"/>
    </row>
    <row r="456" spans="1:32" outlineLevel="1" x14ac:dyDescent="0.2">
      <c r="A456" s="391">
        <f t="shared" si="107"/>
        <v>454</v>
      </c>
      <c r="B456" s="392"/>
      <c r="C456" s="424" t="s">
        <v>956</v>
      </c>
      <c r="D456" s="394"/>
      <c r="E456" s="393"/>
      <c r="F456" s="395"/>
      <c r="G456" s="394"/>
      <c r="H456" s="394"/>
      <c r="I456" s="394"/>
      <c r="J456" s="396">
        <f t="shared" ref="J456:O456" si="111">SUBTOTAL(9,J455:J455)</f>
        <v>0</v>
      </c>
      <c r="K456" s="396">
        <f t="shared" si="111"/>
        <v>0</v>
      </c>
      <c r="L456" s="397">
        <f t="shared" si="111"/>
        <v>0</v>
      </c>
      <c r="M456" s="398">
        <f t="shared" si="111"/>
        <v>0</v>
      </c>
      <c r="N456" s="398">
        <f t="shared" si="111"/>
        <v>6000</v>
      </c>
      <c r="O456" s="396">
        <f t="shared" si="111"/>
        <v>6000</v>
      </c>
      <c r="P456" s="399">
        <f t="shared" si="109"/>
        <v>1</v>
      </c>
      <c r="Q456" s="398">
        <f>SUBTOTAL(9,Q455:Q455)</f>
        <v>7000</v>
      </c>
      <c r="R456" s="400">
        <f>SUBTOTAL(9,R455:R455)</f>
        <v>0</v>
      </c>
      <c r="S456" s="401">
        <f>SUBTOTAL(9,S455:S455)</f>
        <v>0</v>
      </c>
      <c r="T456" s="402"/>
      <c r="U456" s="454"/>
      <c r="V456" s="404"/>
      <c r="W456" s="405"/>
      <c r="X456" s="406"/>
      <c r="Y456" s="404" t="str">
        <f>IF($V456=0," ",IF(LEN($B456)=4,$B456*1,$B456))</f>
        <v xml:space="preserve"> </v>
      </c>
      <c r="Z456" s="407">
        <f>IF($Y456=" ",0,"ORG "&amp;$D456&amp;" - "&amp;$G456)</f>
        <v>0</v>
      </c>
      <c r="AA456" s="408" t="str">
        <f>$B456&amp;LEFT($C456,4)&amp;$D456&amp;$E456&amp;$F456</f>
        <v>Celk</v>
      </c>
      <c r="AB456" s="388"/>
      <c r="AC456" s="409"/>
      <c r="AD456" s="388"/>
      <c r="AE456" s="388"/>
      <c r="AF456" s="388"/>
    </row>
    <row r="457" spans="1:32" outlineLevel="2" x14ac:dyDescent="0.2">
      <c r="A457" s="391">
        <f t="shared" si="107"/>
        <v>455</v>
      </c>
      <c r="B457" s="392" t="s">
        <v>420</v>
      </c>
      <c r="C457" s="393" t="s">
        <v>957</v>
      </c>
      <c r="D457" s="394">
        <v>2760</v>
      </c>
      <c r="E457" s="393">
        <v>6121</v>
      </c>
      <c r="F457" s="395"/>
      <c r="G457" s="394" t="s">
        <v>958</v>
      </c>
      <c r="H457" s="394">
        <v>2015</v>
      </c>
      <c r="I457" s="394">
        <v>2016</v>
      </c>
      <c r="J457" s="396">
        <v>12380</v>
      </c>
      <c r="K457" s="396"/>
      <c r="L457" s="397">
        <v>0</v>
      </c>
      <c r="M457" s="398">
        <v>7830</v>
      </c>
      <c r="N457" s="398">
        <v>0</v>
      </c>
      <c r="O457" s="396"/>
      <c r="P457" s="399" t="str">
        <f t="shared" si="109"/>
        <v xml:space="preserve"> </v>
      </c>
      <c r="Q457" s="398"/>
      <c r="R457" s="400"/>
      <c r="S457" s="401"/>
      <c r="T457" s="402" t="s">
        <v>959</v>
      </c>
      <c r="U457" s="454"/>
      <c r="V457" s="404">
        <f t="shared" si="100"/>
        <v>12380</v>
      </c>
      <c r="W457" s="405" t="str">
        <f>IF(AND(P457&lt;[3]koment!$F$1,N457&gt;=[3]koment!$F$2),"Komentovat","")</f>
        <v/>
      </c>
      <c r="X457" s="406">
        <f>IF(W457="Komentovat",X455+1,X455)</f>
        <v>46</v>
      </c>
      <c r="Y457" s="404">
        <f t="shared" si="101"/>
        <v>5600</v>
      </c>
      <c r="Z457" s="407" t="str">
        <f t="shared" si="102"/>
        <v>ORG 2760 - Hasičská zbrojnice JSDH MČ Brno-Chrlice</v>
      </c>
      <c r="AA457" s="408" t="str">
        <f t="shared" si="103"/>
        <v>5600551227606121</v>
      </c>
      <c r="AB457" s="388"/>
      <c r="AC457" s="409">
        <f t="shared" si="96"/>
        <v>12380</v>
      </c>
      <c r="AD457" s="388"/>
      <c r="AE457" s="388"/>
      <c r="AF457" s="388"/>
    </row>
    <row r="458" spans="1:32" outlineLevel="2" x14ac:dyDescent="0.2">
      <c r="A458" s="391">
        <f t="shared" si="107"/>
        <v>456</v>
      </c>
      <c r="B458" s="392" t="s">
        <v>420</v>
      </c>
      <c r="C458" s="393" t="s">
        <v>957</v>
      </c>
      <c r="D458" s="394">
        <v>5338</v>
      </c>
      <c r="E458" s="393">
        <v>6121</v>
      </c>
      <c r="F458" s="427" t="s">
        <v>490</v>
      </c>
      <c r="G458" s="394" t="s">
        <v>960</v>
      </c>
      <c r="H458" s="394">
        <v>2016</v>
      </c>
      <c r="I458" s="394">
        <v>2017</v>
      </c>
      <c r="J458" s="396">
        <v>993</v>
      </c>
      <c r="K458" s="396"/>
      <c r="L458" s="397"/>
      <c r="M458" s="398"/>
      <c r="N458" s="398">
        <v>93</v>
      </c>
      <c r="O458" s="396"/>
      <c r="P458" s="399">
        <f t="shared" si="109"/>
        <v>0</v>
      </c>
      <c r="Q458" s="398">
        <v>793</v>
      </c>
      <c r="R458" s="400"/>
      <c r="S458" s="401"/>
      <c r="T458" s="402" t="s">
        <v>423</v>
      </c>
      <c r="U458" s="454"/>
      <c r="V458" s="404">
        <f t="shared" si="100"/>
        <v>107</v>
      </c>
      <c r="W458" s="405" t="str">
        <f>IF(AND(P458&lt;[3]koment!$F$1,N458&gt;=[3]koment!$F$2),"Komentovat","")</f>
        <v/>
      </c>
      <c r="X458" s="406">
        <f t="shared" si="91"/>
        <v>46</v>
      </c>
      <c r="Y458" s="404">
        <f t="shared" si="101"/>
        <v>5600</v>
      </c>
      <c r="Z458" s="407" t="str">
        <f t="shared" si="102"/>
        <v>ORG 5338 - Zateplení objektu Ukrajinská 2b</v>
      </c>
      <c r="AA458" s="408" t="str">
        <f t="shared" si="103"/>
        <v>5600551253386121EU</v>
      </c>
      <c r="AB458" s="388"/>
      <c r="AC458" s="409">
        <f t="shared" si="96"/>
        <v>107</v>
      </c>
      <c r="AD458" s="388"/>
      <c r="AE458" s="388"/>
      <c r="AF458" s="388"/>
    </row>
    <row r="459" spans="1:32" outlineLevel="1" x14ac:dyDescent="0.2">
      <c r="A459" s="391">
        <f t="shared" si="107"/>
        <v>457</v>
      </c>
      <c r="B459" s="392"/>
      <c r="C459" s="424" t="s">
        <v>961</v>
      </c>
      <c r="D459" s="394"/>
      <c r="E459" s="393"/>
      <c r="F459" s="427"/>
      <c r="G459" s="394"/>
      <c r="H459" s="394"/>
      <c r="I459" s="394"/>
      <c r="J459" s="396">
        <f t="shared" ref="J459:O459" si="112">SUBTOTAL(9,J457:J458)</f>
        <v>13373</v>
      </c>
      <c r="K459" s="396">
        <f t="shared" si="112"/>
        <v>0</v>
      </c>
      <c r="L459" s="397">
        <f t="shared" si="112"/>
        <v>0</v>
      </c>
      <c r="M459" s="398">
        <f t="shared" si="112"/>
        <v>7830</v>
      </c>
      <c r="N459" s="398">
        <f t="shared" si="112"/>
        <v>93</v>
      </c>
      <c r="O459" s="396">
        <f t="shared" si="112"/>
        <v>0</v>
      </c>
      <c r="P459" s="399">
        <f t="shared" si="109"/>
        <v>0</v>
      </c>
      <c r="Q459" s="398">
        <f>SUBTOTAL(9,Q457:Q458)</f>
        <v>793</v>
      </c>
      <c r="R459" s="400">
        <f>SUBTOTAL(9,R457:R458)</f>
        <v>0</v>
      </c>
      <c r="S459" s="401">
        <f>SUBTOTAL(9,S457:S458)</f>
        <v>0</v>
      </c>
      <c r="T459" s="402"/>
      <c r="U459" s="454"/>
      <c r="V459" s="404"/>
      <c r="W459" s="405"/>
      <c r="X459" s="406"/>
      <c r="Y459" s="404" t="str">
        <f>IF($V459=0," ",IF(LEN($B459)=4,$B459*1,$B459))</f>
        <v xml:space="preserve"> </v>
      </c>
      <c r="Z459" s="407">
        <f>IF($Y459=" ",0,"ORG "&amp;$D459&amp;" - "&amp;$G459)</f>
        <v>0</v>
      </c>
      <c r="AA459" s="408" t="str">
        <f>$B459&amp;LEFT($C459,4)&amp;$D459&amp;$E459&amp;$F459</f>
        <v>Celk</v>
      </c>
      <c r="AB459" s="388"/>
      <c r="AC459" s="409"/>
      <c r="AD459" s="388"/>
      <c r="AE459" s="388"/>
      <c r="AF459" s="388"/>
    </row>
    <row r="460" spans="1:32" outlineLevel="2" x14ac:dyDescent="0.2">
      <c r="A460" s="391">
        <f t="shared" si="107"/>
        <v>458</v>
      </c>
      <c r="B460" s="392" t="s">
        <v>187</v>
      </c>
      <c r="C460" s="393" t="s">
        <v>962</v>
      </c>
      <c r="D460" s="394">
        <v>2709</v>
      </c>
      <c r="E460" s="393">
        <v>6121</v>
      </c>
      <c r="F460" s="395"/>
      <c r="G460" s="394" t="s">
        <v>963</v>
      </c>
      <c r="H460" s="394">
        <v>2015</v>
      </c>
      <c r="I460" s="394">
        <v>2016</v>
      </c>
      <c r="J460" s="396">
        <v>4200</v>
      </c>
      <c r="K460" s="396"/>
      <c r="L460" s="397">
        <v>2093</v>
      </c>
      <c r="M460" s="398">
        <v>2000</v>
      </c>
      <c r="N460" s="398">
        <v>2000</v>
      </c>
      <c r="O460" s="396">
        <v>1824</v>
      </c>
      <c r="P460" s="399">
        <f t="shared" si="109"/>
        <v>0.91200000000000003</v>
      </c>
      <c r="Q460" s="398"/>
      <c r="R460" s="400"/>
      <c r="S460" s="401"/>
      <c r="T460" s="402" t="s">
        <v>678</v>
      </c>
      <c r="U460" s="454"/>
      <c r="V460" s="404">
        <f t="shared" si="100"/>
        <v>107</v>
      </c>
      <c r="W460" s="405" t="str">
        <f>IF(AND(P460&lt;[3]koment!$F$1,N460&gt;=[3]koment!$F$2),"Komentovat","")</f>
        <v/>
      </c>
      <c r="X460" s="406">
        <f>IF(W460="Komentovat",X458+1,X458)</f>
        <v>46</v>
      </c>
      <c r="Y460" s="404">
        <f t="shared" si="101"/>
        <v>6600</v>
      </c>
      <c r="Z460" s="407" t="str">
        <f t="shared" si="102"/>
        <v>ORG 2709 - Technické zhodnocení vstupu Nové radnice</v>
      </c>
      <c r="AA460" s="408" t="str">
        <f t="shared" si="103"/>
        <v>6600617127096121</v>
      </c>
      <c r="AB460" s="388"/>
      <c r="AC460" s="409">
        <f t="shared" si="96"/>
        <v>107</v>
      </c>
      <c r="AD460" s="388"/>
      <c r="AE460" s="388"/>
      <c r="AF460" s="388"/>
    </row>
    <row r="461" spans="1:32" outlineLevel="2" x14ac:dyDescent="0.2">
      <c r="A461" s="391">
        <f t="shared" si="107"/>
        <v>459</v>
      </c>
      <c r="B461" s="392" t="s">
        <v>964</v>
      </c>
      <c r="C461" s="393" t="s">
        <v>962</v>
      </c>
      <c r="D461" s="394">
        <v>2712</v>
      </c>
      <c r="E461" s="393">
        <v>6119</v>
      </c>
      <c r="F461" s="395"/>
      <c r="G461" s="394" t="s">
        <v>965</v>
      </c>
      <c r="H461" s="394">
        <v>2015</v>
      </c>
      <c r="I461" s="394">
        <v>2018</v>
      </c>
      <c r="J461" s="396"/>
      <c r="K461" s="396"/>
      <c r="L461" s="397">
        <v>1854</v>
      </c>
      <c r="M461" s="398">
        <v>2500</v>
      </c>
      <c r="N461" s="398">
        <v>0</v>
      </c>
      <c r="O461" s="396">
        <v>0</v>
      </c>
      <c r="P461" s="399" t="str">
        <f t="shared" si="109"/>
        <v xml:space="preserve"> </v>
      </c>
      <c r="Q461" s="398">
        <v>2500</v>
      </c>
      <c r="R461" s="400"/>
      <c r="S461" s="401"/>
      <c r="T461" s="402" t="s">
        <v>966</v>
      </c>
      <c r="U461" s="454"/>
      <c r="V461" s="404">
        <f t="shared" si="100"/>
        <v>-4354</v>
      </c>
      <c r="W461" s="405" t="str">
        <f>IF(AND(P461&lt;[3]koment!$F$1,N461&gt;=[3]koment!$F$2),"Komentovat","")</f>
        <v/>
      </c>
      <c r="X461" s="406">
        <f t="shared" si="91"/>
        <v>46</v>
      </c>
      <c r="Y461" s="404">
        <f t="shared" si="101"/>
        <v>5300</v>
      </c>
      <c r="Z461" s="407" t="str">
        <f t="shared" si="102"/>
        <v>ORG 2712 - Architektonický koncept ICT</v>
      </c>
      <c r="AA461" s="408" t="str">
        <f t="shared" si="103"/>
        <v>5300617127126119</v>
      </c>
      <c r="AB461" s="388"/>
      <c r="AC461" s="409">
        <f t="shared" si="96"/>
        <v>-4354</v>
      </c>
      <c r="AD461" s="388"/>
      <c r="AE461" s="388"/>
      <c r="AF461" s="388"/>
    </row>
    <row r="462" spans="1:32" outlineLevel="2" x14ac:dyDescent="0.2">
      <c r="A462" s="391">
        <f t="shared" si="107"/>
        <v>460</v>
      </c>
      <c r="B462" s="392" t="s">
        <v>420</v>
      </c>
      <c r="C462" s="393" t="s">
        <v>962</v>
      </c>
      <c r="D462" s="394">
        <v>2759</v>
      </c>
      <c r="E462" s="393">
        <v>6121</v>
      </c>
      <c r="F462" s="395"/>
      <c r="G462" s="394" t="s">
        <v>967</v>
      </c>
      <c r="H462" s="394">
        <v>2015</v>
      </c>
      <c r="I462" s="394">
        <v>2017</v>
      </c>
      <c r="J462" s="396">
        <v>10630</v>
      </c>
      <c r="K462" s="396"/>
      <c r="L462" s="397">
        <v>0</v>
      </c>
      <c r="M462" s="398">
        <v>5040</v>
      </c>
      <c r="N462" s="398">
        <v>10</v>
      </c>
      <c r="O462" s="396"/>
      <c r="P462" s="399">
        <f t="shared" si="109"/>
        <v>0</v>
      </c>
      <c r="Q462" s="398">
        <v>10630</v>
      </c>
      <c r="R462" s="400"/>
      <c r="S462" s="401"/>
      <c r="T462" s="402" t="s">
        <v>423</v>
      </c>
      <c r="U462" s="454"/>
      <c r="V462" s="404">
        <f t="shared" si="100"/>
        <v>-10</v>
      </c>
      <c r="W462" s="405" t="str">
        <f>IF(AND(P462&lt;[3]koment!$F$1,N462&gt;=[3]koment!$F$2),"Komentovat","")</f>
        <v/>
      </c>
      <c r="X462" s="406">
        <f t="shared" si="91"/>
        <v>46</v>
      </c>
      <c r="Y462" s="404">
        <f t="shared" si="101"/>
        <v>5600</v>
      </c>
      <c r="Z462" s="407" t="str">
        <f t="shared" si="102"/>
        <v>ORG 2759 - Doplnění klimatizace v objektu Koliště 19</v>
      </c>
      <c r="AA462" s="408" t="str">
        <f t="shared" si="103"/>
        <v>5600617127596121</v>
      </c>
      <c r="AB462" s="388"/>
      <c r="AC462" s="409">
        <f t="shared" si="96"/>
        <v>-10</v>
      </c>
      <c r="AD462" s="388"/>
      <c r="AE462" s="388"/>
      <c r="AF462" s="388"/>
    </row>
    <row r="463" spans="1:32" outlineLevel="2" x14ac:dyDescent="0.2">
      <c r="A463" s="391">
        <f t="shared" si="107"/>
        <v>461</v>
      </c>
      <c r="B463" s="392" t="s">
        <v>420</v>
      </c>
      <c r="C463" s="393" t="s">
        <v>962</v>
      </c>
      <c r="D463" s="394">
        <v>2957</v>
      </c>
      <c r="E463" s="393">
        <v>6121</v>
      </c>
      <c r="F463" s="395"/>
      <c r="G463" s="394" t="s">
        <v>968</v>
      </c>
      <c r="H463" s="394">
        <v>2011</v>
      </c>
      <c r="I463" s="394">
        <v>2017</v>
      </c>
      <c r="J463" s="396">
        <v>17600</v>
      </c>
      <c r="K463" s="396"/>
      <c r="L463" s="397">
        <v>510</v>
      </c>
      <c r="M463" s="398">
        <v>5165</v>
      </c>
      <c r="N463" s="398">
        <v>0</v>
      </c>
      <c r="O463" s="396">
        <v>0</v>
      </c>
      <c r="P463" s="399" t="str">
        <f t="shared" si="109"/>
        <v xml:space="preserve"> </v>
      </c>
      <c r="Q463" s="398"/>
      <c r="R463" s="400"/>
      <c r="S463" s="401"/>
      <c r="T463" s="402" t="s">
        <v>423</v>
      </c>
      <c r="U463" s="454"/>
      <c r="V463" s="404">
        <f t="shared" si="100"/>
        <v>17090</v>
      </c>
      <c r="W463" s="405" t="str">
        <f>IF(AND(P463&lt;[3]koment!$F$1,N463&gt;=[3]koment!$F$2),"Komentovat","")</f>
        <v/>
      </c>
      <c r="X463" s="406">
        <f t="shared" si="91"/>
        <v>46</v>
      </c>
      <c r="Y463" s="404">
        <f t="shared" si="101"/>
        <v>5600</v>
      </c>
      <c r="Z463" s="407" t="str">
        <f t="shared" si="102"/>
        <v>ORG 2957 - Rekonstrukce sídla ÚMČ Brno-Ivanovice</v>
      </c>
      <c r="AA463" s="408" t="str">
        <f t="shared" si="103"/>
        <v>5600617129576121</v>
      </c>
      <c r="AB463" s="388"/>
      <c r="AC463" s="409">
        <f t="shared" si="96"/>
        <v>17090</v>
      </c>
      <c r="AD463" s="388"/>
      <c r="AE463" s="388"/>
      <c r="AF463" s="388"/>
    </row>
    <row r="464" spans="1:32" outlineLevel="2" x14ac:dyDescent="0.2">
      <c r="A464" s="391">
        <f t="shared" si="107"/>
        <v>462</v>
      </c>
      <c r="B464" s="422" t="s">
        <v>420</v>
      </c>
      <c r="C464" s="393" t="s">
        <v>962</v>
      </c>
      <c r="D464" s="393">
        <v>3087</v>
      </c>
      <c r="E464" s="393">
        <v>6121</v>
      </c>
      <c r="F464" s="402"/>
      <c r="G464" s="394" t="s">
        <v>969</v>
      </c>
      <c r="H464" s="423">
        <v>2009</v>
      </c>
      <c r="I464" s="393">
        <v>2016</v>
      </c>
      <c r="J464" s="420">
        <v>24521</v>
      </c>
      <c r="K464" s="420"/>
      <c r="L464" s="420">
        <v>6471</v>
      </c>
      <c r="M464" s="421">
        <v>12500</v>
      </c>
      <c r="N464" s="421">
        <v>18000</v>
      </c>
      <c r="O464" s="420">
        <v>17280</v>
      </c>
      <c r="P464" s="399">
        <f t="shared" si="109"/>
        <v>0.96</v>
      </c>
      <c r="Q464" s="421"/>
      <c r="R464" s="400"/>
      <c r="S464" s="401"/>
      <c r="T464" s="402" t="s">
        <v>423</v>
      </c>
      <c r="U464" s="454"/>
      <c r="V464" s="404">
        <f t="shared" si="100"/>
        <v>50</v>
      </c>
      <c r="W464" s="405" t="str">
        <f>IF(AND(P464&lt;[3]koment!$F$1,N464&gt;=[3]koment!$F$2),"Komentovat","")</f>
        <v/>
      </c>
      <c r="X464" s="406">
        <f t="shared" si="91"/>
        <v>46</v>
      </c>
      <c r="Y464" s="404">
        <f t="shared" si="101"/>
        <v>5600</v>
      </c>
      <c r="Z464" s="407" t="str">
        <f t="shared" si="102"/>
        <v>ORG 3087 - Klimatizace Malinovského nám. 3</v>
      </c>
      <c r="AA464" s="408" t="str">
        <f t="shared" si="103"/>
        <v>5600617130876121</v>
      </c>
      <c r="AB464" s="388"/>
      <c r="AC464" s="409">
        <f t="shared" si="96"/>
        <v>50</v>
      </c>
      <c r="AD464" s="388"/>
      <c r="AE464" s="388"/>
      <c r="AF464" s="388"/>
    </row>
    <row r="465" spans="1:32" outlineLevel="2" x14ac:dyDescent="0.2">
      <c r="A465" s="391">
        <f t="shared" si="107"/>
        <v>463</v>
      </c>
      <c r="B465" s="392" t="s">
        <v>187</v>
      </c>
      <c r="C465" s="393" t="s">
        <v>962</v>
      </c>
      <c r="D465" s="394">
        <v>3087</v>
      </c>
      <c r="E465" s="393">
        <v>6121</v>
      </c>
      <c r="F465" s="395"/>
      <c r="G465" s="394" t="s">
        <v>969</v>
      </c>
      <c r="H465" s="394">
        <v>2009</v>
      </c>
      <c r="I465" s="394">
        <v>2016</v>
      </c>
      <c r="J465" s="396"/>
      <c r="K465" s="396"/>
      <c r="L465" s="397"/>
      <c r="M465" s="398"/>
      <c r="N465" s="398">
        <v>30</v>
      </c>
      <c r="O465" s="396">
        <v>28</v>
      </c>
      <c r="P465" s="399">
        <f t="shared" si="109"/>
        <v>0.93333333333333335</v>
      </c>
      <c r="Q465" s="398"/>
      <c r="R465" s="400"/>
      <c r="S465" s="401"/>
      <c r="T465" s="402" t="s">
        <v>678</v>
      </c>
      <c r="U465" s="403"/>
      <c r="V465" s="404">
        <f t="shared" si="100"/>
        <v>-30</v>
      </c>
      <c r="W465" s="405" t="str">
        <f>IF(AND(P465&lt;[3]koment!$F$1,N465&gt;=[3]koment!$F$2),"Komentovat","")</f>
        <v/>
      </c>
      <c r="X465" s="406">
        <f t="shared" si="91"/>
        <v>46</v>
      </c>
      <c r="Y465" s="404">
        <f t="shared" si="101"/>
        <v>6600</v>
      </c>
      <c r="Z465" s="407" t="str">
        <f t="shared" si="102"/>
        <v>ORG 3087 - Klimatizace Malinovského nám. 3</v>
      </c>
      <c r="AA465" s="408" t="str">
        <f t="shared" si="103"/>
        <v>6600617130876121</v>
      </c>
      <c r="AB465" s="388"/>
      <c r="AC465" s="409">
        <f t="shared" si="96"/>
        <v>-30</v>
      </c>
      <c r="AD465" s="388"/>
      <c r="AE465" s="388"/>
      <c r="AF465" s="388"/>
    </row>
    <row r="466" spans="1:32" outlineLevel="2" x14ac:dyDescent="0.2">
      <c r="A466" s="391">
        <f t="shared" si="107"/>
        <v>464</v>
      </c>
      <c r="B466" s="422" t="s">
        <v>964</v>
      </c>
      <c r="C466" s="393" t="s">
        <v>962</v>
      </c>
      <c r="D466" s="393">
        <v>3102</v>
      </c>
      <c r="E466" s="393">
        <v>6111</v>
      </c>
      <c r="F466" s="402"/>
      <c r="G466" s="394" t="s">
        <v>970</v>
      </c>
      <c r="H466" s="419"/>
      <c r="I466" s="419"/>
      <c r="J466" s="420"/>
      <c r="K466" s="420"/>
      <c r="L466" s="420">
        <v>67454</v>
      </c>
      <c r="M466" s="421">
        <v>13500</v>
      </c>
      <c r="N466" s="421">
        <v>13500</v>
      </c>
      <c r="O466" s="420">
        <v>13500</v>
      </c>
      <c r="P466" s="399">
        <f t="shared" si="109"/>
        <v>1</v>
      </c>
      <c r="Q466" s="421">
        <v>13500</v>
      </c>
      <c r="R466" s="400"/>
      <c r="S466" s="401"/>
      <c r="T466" s="402" t="s">
        <v>966</v>
      </c>
      <c r="U466" s="454"/>
      <c r="V466" s="404">
        <f t="shared" si="100"/>
        <v>-94454</v>
      </c>
      <c r="W466" s="405" t="str">
        <f>IF(AND(P466&lt;[3]koment!$F$1,N466&gt;=[3]koment!$F$2),"Komentovat","")</f>
        <v/>
      </c>
      <c r="X466" s="406">
        <f t="shared" si="91"/>
        <v>46</v>
      </c>
      <c r="Y466" s="404">
        <f t="shared" si="101"/>
        <v>5300</v>
      </c>
      <c r="Z466" s="407" t="str">
        <f t="shared" si="102"/>
        <v>ORG 3102 - GIS - rozvoj systému</v>
      </c>
      <c r="AA466" s="408" t="str">
        <f t="shared" si="103"/>
        <v>5300617131026111</v>
      </c>
      <c r="AB466" s="388"/>
      <c r="AC466" s="409">
        <f t="shared" si="96"/>
        <v>-94454</v>
      </c>
      <c r="AD466" s="388"/>
      <c r="AE466" s="388"/>
      <c r="AF466" s="388"/>
    </row>
    <row r="467" spans="1:32" outlineLevel="2" x14ac:dyDescent="0.2">
      <c r="A467" s="391">
        <f t="shared" si="107"/>
        <v>465</v>
      </c>
      <c r="B467" s="422" t="s">
        <v>187</v>
      </c>
      <c r="C467" s="393" t="s">
        <v>962</v>
      </c>
      <c r="D467" s="393">
        <v>3282</v>
      </c>
      <c r="E467" s="393">
        <v>6121</v>
      </c>
      <c r="F467" s="402"/>
      <c r="G467" s="394" t="s">
        <v>971</v>
      </c>
      <c r="H467" s="423">
        <v>2005</v>
      </c>
      <c r="I467" s="423">
        <v>2017</v>
      </c>
      <c r="J467" s="420">
        <v>32356</v>
      </c>
      <c r="K467" s="420"/>
      <c r="L467" s="420">
        <v>24186</v>
      </c>
      <c r="M467" s="421">
        <v>2000</v>
      </c>
      <c r="N467" s="421">
        <v>570</v>
      </c>
      <c r="O467" s="420">
        <v>488</v>
      </c>
      <c r="P467" s="399">
        <f t="shared" si="109"/>
        <v>0.85614035087719298</v>
      </c>
      <c r="Q467" s="421">
        <v>4600</v>
      </c>
      <c r="R467" s="400"/>
      <c r="S467" s="401"/>
      <c r="T467" s="402" t="s">
        <v>678</v>
      </c>
      <c r="U467" s="454"/>
      <c r="V467" s="404">
        <f t="shared" si="100"/>
        <v>3000</v>
      </c>
      <c r="W467" s="405" t="str">
        <f>IF(AND(P467&lt;[3]koment!$F$1,N467&gt;=[3]koment!$F$2),"Komentovat","")</f>
        <v/>
      </c>
      <c r="X467" s="406">
        <f t="shared" si="91"/>
        <v>46</v>
      </c>
      <c r="Y467" s="404">
        <f t="shared" si="101"/>
        <v>6600</v>
      </c>
      <c r="Z467" s="407" t="str">
        <f t="shared" si="102"/>
        <v>ORG 3282 - Technické zhodnocení objektů MMB</v>
      </c>
      <c r="AA467" s="408" t="str">
        <f t="shared" si="103"/>
        <v>6600617132826121</v>
      </c>
      <c r="AB467" s="388"/>
      <c r="AC467" s="409">
        <f t="shared" si="96"/>
        <v>3000</v>
      </c>
      <c r="AD467" s="388"/>
      <c r="AE467" s="388"/>
      <c r="AF467" s="388"/>
    </row>
    <row r="468" spans="1:32" outlineLevel="2" x14ac:dyDescent="0.2">
      <c r="A468" s="391">
        <f t="shared" si="107"/>
        <v>466</v>
      </c>
      <c r="B468" s="422" t="s">
        <v>964</v>
      </c>
      <c r="C468" s="393" t="s">
        <v>962</v>
      </c>
      <c r="D468" s="393">
        <v>3432</v>
      </c>
      <c r="E468" s="393">
        <v>6111</v>
      </c>
      <c r="F468" s="402"/>
      <c r="G468" s="394" t="s">
        <v>972</v>
      </c>
      <c r="H468" s="419"/>
      <c r="I468" s="419"/>
      <c r="J468" s="420"/>
      <c r="K468" s="420"/>
      <c r="L468" s="420">
        <v>240018</v>
      </c>
      <c r="M468" s="421">
        <v>14750</v>
      </c>
      <c r="N468" s="421">
        <v>14750</v>
      </c>
      <c r="O468" s="420">
        <v>8366</v>
      </c>
      <c r="P468" s="399">
        <f t="shared" si="109"/>
        <v>0.56718644067796609</v>
      </c>
      <c r="Q468" s="421">
        <v>20500</v>
      </c>
      <c r="R468" s="400"/>
      <c r="S468" s="401"/>
      <c r="T468" s="402" t="s">
        <v>966</v>
      </c>
      <c r="U468" s="454"/>
      <c r="V468" s="404">
        <f t="shared" si="100"/>
        <v>-275268</v>
      </c>
      <c r="W468" s="405" t="str">
        <f>IF(AND(P468&lt;[3]koment!$F$1,N468&gt;=[3]koment!$F$2),"Komentovat","")</f>
        <v>Komentovat</v>
      </c>
      <c r="X468" s="406">
        <f t="shared" si="91"/>
        <v>47</v>
      </c>
      <c r="Y468" s="404">
        <f t="shared" si="101"/>
        <v>5300</v>
      </c>
      <c r="Z468" s="407" t="str">
        <f t="shared" si="102"/>
        <v>ORG 3432 - ISMB - agendový aplikační software</v>
      </c>
      <c r="AA468" s="408" t="str">
        <f t="shared" si="103"/>
        <v>5300617134326111</v>
      </c>
      <c r="AB468" s="388"/>
      <c r="AC468" s="409">
        <f t="shared" si="96"/>
        <v>-275268</v>
      </c>
      <c r="AD468" s="388"/>
      <c r="AE468" s="388"/>
      <c r="AF468" s="388"/>
    </row>
    <row r="469" spans="1:32" outlineLevel="2" x14ac:dyDescent="0.2">
      <c r="A469" s="391">
        <f t="shared" si="107"/>
        <v>467</v>
      </c>
      <c r="B469" s="422" t="s">
        <v>964</v>
      </c>
      <c r="C469" s="393" t="s">
        <v>962</v>
      </c>
      <c r="D469" s="393">
        <v>3476</v>
      </c>
      <c r="E469" s="393">
        <v>6111</v>
      </c>
      <c r="F469" s="402"/>
      <c r="G469" s="394" t="s">
        <v>973</v>
      </c>
      <c r="H469" s="419"/>
      <c r="I469" s="419"/>
      <c r="J469" s="420"/>
      <c r="K469" s="420"/>
      <c r="L469" s="420">
        <v>284156</v>
      </c>
      <c r="M469" s="421">
        <v>63300</v>
      </c>
      <c r="N469" s="421">
        <v>39707</v>
      </c>
      <c r="O469" s="420">
        <v>1765</v>
      </c>
      <c r="P469" s="399">
        <f t="shared" si="109"/>
        <v>4.4450600649759489E-2</v>
      </c>
      <c r="Q469" s="421">
        <v>25300</v>
      </c>
      <c r="R469" s="400"/>
      <c r="S469" s="401"/>
      <c r="T469" s="402" t="s">
        <v>966</v>
      </c>
      <c r="U469" s="454"/>
      <c r="V469" s="404">
        <f t="shared" si="100"/>
        <v>-349163</v>
      </c>
      <c r="W469" s="405" t="str">
        <f>IF(AND(P469&lt;[3]koment!$F$1,N469&gt;=[3]koment!$F$2),"Komentovat","")</f>
        <v>Komentovat</v>
      </c>
      <c r="X469" s="406">
        <f t="shared" si="91"/>
        <v>48</v>
      </c>
      <c r="Y469" s="404">
        <f t="shared" si="101"/>
        <v>5300</v>
      </c>
      <c r="Z469" s="407" t="str">
        <f t="shared" si="102"/>
        <v>ORG 3476 - OMI - informační systém</v>
      </c>
      <c r="AA469" s="408" t="str">
        <f t="shared" si="103"/>
        <v>5300617134766111</v>
      </c>
      <c r="AB469" s="388"/>
      <c r="AC469" s="409">
        <f t="shared" si="96"/>
        <v>-349163</v>
      </c>
      <c r="AD469" s="388"/>
      <c r="AE469" s="388"/>
      <c r="AF469" s="388"/>
    </row>
    <row r="470" spans="1:32" outlineLevel="2" x14ac:dyDescent="0.2">
      <c r="A470" s="391">
        <f t="shared" si="107"/>
        <v>468</v>
      </c>
      <c r="B470" s="392" t="s">
        <v>964</v>
      </c>
      <c r="C470" s="393" t="s">
        <v>962</v>
      </c>
      <c r="D470" s="394">
        <v>3476</v>
      </c>
      <c r="E470" s="393">
        <v>6122</v>
      </c>
      <c r="F470" s="395"/>
      <c r="G470" s="394" t="s">
        <v>973</v>
      </c>
      <c r="H470" s="394"/>
      <c r="I470" s="394"/>
      <c r="J470" s="396"/>
      <c r="K470" s="396"/>
      <c r="L470" s="397"/>
      <c r="M470" s="398"/>
      <c r="N470" s="398">
        <v>2904</v>
      </c>
      <c r="O470" s="396">
        <v>2903</v>
      </c>
      <c r="P470" s="399">
        <f t="shared" si="109"/>
        <v>0.99965564738292012</v>
      </c>
      <c r="Q470" s="398"/>
      <c r="R470" s="400"/>
      <c r="S470" s="401"/>
      <c r="T470" s="402" t="s">
        <v>966</v>
      </c>
      <c r="U470" s="454"/>
      <c r="V470" s="404">
        <f t="shared" si="100"/>
        <v>-2904</v>
      </c>
      <c r="W470" s="405" t="str">
        <f>IF(AND(P470&lt;[3]koment!$F$1,N470&gt;=[3]koment!$F$2),"Komentovat","")</f>
        <v/>
      </c>
      <c r="X470" s="406">
        <f t="shared" ref="X470:X477" si="113">IF(W470="Komentovat",X469+1,X469)</f>
        <v>48</v>
      </c>
      <c r="Y470" s="404">
        <f t="shared" si="101"/>
        <v>5300</v>
      </c>
      <c r="Z470" s="407" t="str">
        <f t="shared" si="102"/>
        <v>ORG 3476 - OMI - informační systém</v>
      </c>
      <c r="AA470" s="408" t="str">
        <f t="shared" si="103"/>
        <v>5300617134766122</v>
      </c>
      <c r="AB470" s="388"/>
      <c r="AC470" s="409">
        <f t="shared" si="96"/>
        <v>-2904</v>
      </c>
      <c r="AD470" s="388"/>
      <c r="AE470" s="388"/>
      <c r="AF470" s="388"/>
    </row>
    <row r="471" spans="1:32" outlineLevel="2" x14ac:dyDescent="0.2">
      <c r="A471" s="391">
        <f t="shared" si="107"/>
        <v>469</v>
      </c>
      <c r="B471" s="392" t="s">
        <v>964</v>
      </c>
      <c r="C471" s="393" t="s">
        <v>962</v>
      </c>
      <c r="D471" s="394">
        <v>3476</v>
      </c>
      <c r="E471" s="393">
        <v>6125</v>
      </c>
      <c r="F471" s="395"/>
      <c r="G471" s="394" t="s">
        <v>973</v>
      </c>
      <c r="H471" s="394"/>
      <c r="I471" s="394"/>
      <c r="J471" s="396"/>
      <c r="K471" s="396"/>
      <c r="L471" s="397"/>
      <c r="M471" s="398"/>
      <c r="N471" s="398">
        <v>3099</v>
      </c>
      <c r="O471" s="396">
        <v>3097</v>
      </c>
      <c r="P471" s="399">
        <f t="shared" si="109"/>
        <v>0.99935463052597617</v>
      </c>
      <c r="Q471" s="398"/>
      <c r="R471" s="400"/>
      <c r="S471" s="401"/>
      <c r="T471" s="402" t="s">
        <v>966</v>
      </c>
      <c r="U471" s="454"/>
      <c r="V471" s="404">
        <f t="shared" si="100"/>
        <v>-3099</v>
      </c>
      <c r="W471" s="405" t="str">
        <f>IF(AND(P471&lt;[3]koment!$F$1,N471&gt;=[3]koment!$F$2),"Komentovat","")</f>
        <v/>
      </c>
      <c r="X471" s="406">
        <f t="shared" si="113"/>
        <v>48</v>
      </c>
      <c r="Y471" s="404">
        <f t="shared" si="101"/>
        <v>5300</v>
      </c>
      <c r="Z471" s="407" t="str">
        <f t="shared" si="102"/>
        <v>ORG 3476 - OMI - informační systém</v>
      </c>
      <c r="AA471" s="408" t="str">
        <f t="shared" si="103"/>
        <v>5300617134766125</v>
      </c>
      <c r="AB471" s="388"/>
      <c r="AC471" s="409">
        <f t="shared" si="96"/>
        <v>-3099</v>
      </c>
      <c r="AD471" s="388"/>
      <c r="AE471" s="388"/>
      <c r="AF471" s="388"/>
    </row>
    <row r="472" spans="1:32" outlineLevel="2" x14ac:dyDescent="0.2">
      <c r="A472" s="391">
        <f t="shared" si="107"/>
        <v>470</v>
      </c>
      <c r="B472" s="392" t="s">
        <v>420</v>
      </c>
      <c r="C472" s="393" t="s">
        <v>962</v>
      </c>
      <c r="D472" s="394">
        <v>5332</v>
      </c>
      <c r="E472" s="393">
        <v>6121</v>
      </c>
      <c r="F472" s="427" t="s">
        <v>490</v>
      </c>
      <c r="G472" s="394" t="s">
        <v>974</v>
      </c>
      <c r="H472" s="394">
        <v>2016</v>
      </c>
      <c r="I472" s="394">
        <v>2017</v>
      </c>
      <c r="J472" s="396">
        <v>7788</v>
      </c>
      <c r="K472" s="396"/>
      <c r="L472" s="397"/>
      <c r="M472" s="398"/>
      <c r="N472" s="398">
        <v>100</v>
      </c>
      <c r="O472" s="396"/>
      <c r="P472" s="399">
        <f t="shared" si="109"/>
        <v>0</v>
      </c>
      <c r="Q472" s="398">
        <v>2000</v>
      </c>
      <c r="R472" s="400"/>
      <c r="S472" s="401"/>
      <c r="T472" s="402" t="s">
        <v>423</v>
      </c>
      <c r="U472" s="463"/>
      <c r="V472" s="404">
        <f t="shared" si="100"/>
        <v>5688</v>
      </c>
      <c r="W472" s="405" t="str">
        <f>IF(AND(P472&lt;[3]koment!$F$1,N472&gt;=[3]koment!$F$2),"Komentovat","")</f>
        <v/>
      </c>
      <c r="X472" s="406">
        <f t="shared" si="113"/>
        <v>48</v>
      </c>
      <c r="Y472" s="404">
        <f t="shared" si="101"/>
        <v>5600</v>
      </c>
      <c r="Z472" s="407" t="str">
        <f t="shared" si="102"/>
        <v>ORG 5332 - Zateplení radnice Oderská 4</v>
      </c>
      <c r="AA472" s="408" t="str">
        <f t="shared" si="103"/>
        <v>5600617153326121EU</v>
      </c>
      <c r="AB472" s="388"/>
      <c r="AC472" s="409">
        <f t="shared" si="96"/>
        <v>5688</v>
      </c>
      <c r="AD472" s="388"/>
      <c r="AE472" s="388"/>
      <c r="AF472" s="388"/>
    </row>
    <row r="473" spans="1:32" outlineLevel="2" x14ac:dyDescent="0.2">
      <c r="A473" s="391">
        <f t="shared" si="107"/>
        <v>471</v>
      </c>
      <c r="B473" s="392" t="s">
        <v>420</v>
      </c>
      <c r="C473" s="393" t="s">
        <v>962</v>
      </c>
      <c r="D473" s="394">
        <v>5335</v>
      </c>
      <c r="E473" s="393">
        <v>6121</v>
      </c>
      <c r="F473" s="427" t="s">
        <v>490</v>
      </c>
      <c r="G473" s="394" t="s">
        <v>975</v>
      </c>
      <c r="H473" s="394">
        <v>2016</v>
      </c>
      <c r="I473" s="394">
        <v>2017</v>
      </c>
      <c r="J473" s="396">
        <v>6146</v>
      </c>
      <c r="K473" s="396"/>
      <c r="L473" s="397"/>
      <c r="M473" s="398"/>
      <c r="N473" s="398">
        <v>100</v>
      </c>
      <c r="O473" s="396">
        <v>4</v>
      </c>
      <c r="P473" s="399">
        <f t="shared" si="109"/>
        <v>0.04</v>
      </c>
      <c r="Q473" s="398">
        <v>2000</v>
      </c>
      <c r="R473" s="400"/>
      <c r="S473" s="401"/>
      <c r="T473" s="402" t="s">
        <v>423</v>
      </c>
      <c r="U473" s="454"/>
      <c r="V473" s="404">
        <f t="shared" si="100"/>
        <v>4046</v>
      </c>
      <c r="W473" s="405" t="str">
        <f>IF(AND(P473&lt;[3]koment!$F$1,N473&gt;=[3]koment!$F$2),"Komentovat","")</f>
        <v/>
      </c>
      <c r="X473" s="406">
        <f t="shared" si="113"/>
        <v>48</v>
      </c>
      <c r="Y473" s="404">
        <f t="shared" si="101"/>
        <v>5600</v>
      </c>
      <c r="Z473" s="407" t="str">
        <f t="shared" si="102"/>
        <v>ORG 5335 - Zateplení úřadu městské části Brno-Maloměřice a Obřany</v>
      </c>
      <c r="AA473" s="408" t="str">
        <f t="shared" si="103"/>
        <v>5600617153356121EU</v>
      </c>
      <c r="AB473" s="388"/>
      <c r="AC473" s="409">
        <f t="shared" si="96"/>
        <v>4046</v>
      </c>
      <c r="AD473" s="388"/>
      <c r="AE473" s="388"/>
      <c r="AF473" s="388"/>
    </row>
    <row r="474" spans="1:32" outlineLevel="2" x14ac:dyDescent="0.2">
      <c r="A474" s="391">
        <f t="shared" si="107"/>
        <v>472</v>
      </c>
      <c r="B474" s="392" t="s">
        <v>420</v>
      </c>
      <c r="C474" s="393" t="s">
        <v>962</v>
      </c>
      <c r="D474" s="394">
        <v>5339</v>
      </c>
      <c r="E474" s="393">
        <v>6121</v>
      </c>
      <c r="F474" s="427" t="s">
        <v>490</v>
      </c>
      <c r="G474" s="394" t="s">
        <v>968</v>
      </c>
      <c r="H474" s="394">
        <v>2016</v>
      </c>
      <c r="I474" s="394">
        <v>2017</v>
      </c>
      <c r="J474" s="396">
        <v>20620</v>
      </c>
      <c r="K474" s="396"/>
      <c r="L474" s="397"/>
      <c r="M474" s="398"/>
      <c r="N474" s="398">
        <v>2000</v>
      </c>
      <c r="O474" s="396">
        <v>1097</v>
      </c>
      <c r="P474" s="399">
        <f t="shared" si="109"/>
        <v>0.54849999999999999</v>
      </c>
      <c r="Q474" s="398">
        <v>15000</v>
      </c>
      <c r="R474" s="400"/>
      <c r="S474" s="401"/>
      <c r="T474" s="402" t="s">
        <v>423</v>
      </c>
      <c r="U474" s="454"/>
      <c r="V474" s="404">
        <f t="shared" si="100"/>
        <v>3620</v>
      </c>
      <c r="W474" s="405" t="str">
        <f>IF(AND(P474&lt;[3]koment!$F$1,N474&gt;=[3]koment!$F$2),"Komentovat","")</f>
        <v>Komentovat</v>
      </c>
      <c r="X474" s="406">
        <f t="shared" si="113"/>
        <v>49</v>
      </c>
      <c r="Y474" s="404">
        <f t="shared" si="101"/>
        <v>5600</v>
      </c>
      <c r="Z474" s="407" t="str">
        <f t="shared" si="102"/>
        <v>ORG 5339 - Rekonstrukce sídla ÚMČ Brno-Ivanovice</v>
      </c>
      <c r="AA474" s="408" t="str">
        <f t="shared" si="103"/>
        <v>5600617153396121EU</v>
      </c>
      <c r="AB474" s="388"/>
      <c r="AC474" s="409">
        <f t="shared" si="96"/>
        <v>3620</v>
      </c>
      <c r="AD474" s="388"/>
      <c r="AE474" s="388"/>
      <c r="AF474" s="388"/>
    </row>
    <row r="475" spans="1:32" outlineLevel="2" x14ac:dyDescent="0.2">
      <c r="A475" s="391">
        <f t="shared" si="107"/>
        <v>473</v>
      </c>
      <c r="B475" s="392" t="s">
        <v>952</v>
      </c>
      <c r="C475" s="393" t="s">
        <v>962</v>
      </c>
      <c r="D475" s="394">
        <v>300000</v>
      </c>
      <c r="E475" s="393">
        <v>6122</v>
      </c>
      <c r="F475" s="448"/>
      <c r="G475" s="394" t="s">
        <v>976</v>
      </c>
      <c r="H475" s="394"/>
      <c r="I475" s="394"/>
      <c r="J475" s="396"/>
      <c r="K475" s="396"/>
      <c r="L475" s="397"/>
      <c r="M475" s="398">
        <v>1400</v>
      </c>
      <c r="N475" s="398">
        <v>1460</v>
      </c>
      <c r="O475" s="396">
        <v>1451</v>
      </c>
      <c r="P475" s="399">
        <f t="shared" si="109"/>
        <v>0.99383561643835616</v>
      </c>
      <c r="Q475" s="398">
        <v>250</v>
      </c>
      <c r="R475" s="400"/>
      <c r="S475" s="401"/>
      <c r="T475" s="402" t="s">
        <v>955</v>
      </c>
      <c r="U475" s="454"/>
      <c r="V475" s="404">
        <f t="shared" si="100"/>
        <v>0</v>
      </c>
      <c r="W475" s="405" t="str">
        <f>IF(AND(P475&lt;[3]koment!$F$1,N475&gt;=[3]koment!$F$2),"Komentovat","")</f>
        <v/>
      </c>
      <c r="X475" s="406">
        <f t="shared" si="113"/>
        <v>49</v>
      </c>
      <c r="Y475" s="404" t="str">
        <f t="shared" si="101"/>
        <v xml:space="preserve"> </v>
      </c>
      <c r="Z475" s="407">
        <f t="shared" si="102"/>
        <v>0</v>
      </c>
      <c r="AA475" s="408" t="str">
        <f t="shared" si="103"/>
        <v>320061713000006122</v>
      </c>
      <c r="AB475" s="388"/>
      <c r="AC475" s="409">
        <f t="shared" si="96"/>
        <v>0</v>
      </c>
      <c r="AD475" s="388"/>
      <c r="AE475" s="388"/>
      <c r="AF475" s="388"/>
    </row>
    <row r="476" spans="1:32" outlineLevel="2" x14ac:dyDescent="0.2">
      <c r="A476" s="391">
        <f t="shared" si="107"/>
        <v>474</v>
      </c>
      <c r="B476" s="392" t="s">
        <v>952</v>
      </c>
      <c r="C476" s="393" t="s">
        <v>962</v>
      </c>
      <c r="D476" s="394">
        <v>300000</v>
      </c>
      <c r="E476" s="393">
        <v>6123</v>
      </c>
      <c r="F476" s="395"/>
      <c r="G476" s="394" t="s">
        <v>976</v>
      </c>
      <c r="H476" s="394"/>
      <c r="I476" s="394"/>
      <c r="J476" s="396"/>
      <c r="K476" s="396"/>
      <c r="L476" s="397">
        <v>10024</v>
      </c>
      <c r="M476" s="398">
        <v>1244</v>
      </c>
      <c r="N476" s="398">
        <v>523</v>
      </c>
      <c r="O476" s="396">
        <v>522</v>
      </c>
      <c r="P476" s="399">
        <f t="shared" si="109"/>
        <v>0.99808795411089868</v>
      </c>
      <c r="Q476" s="398">
        <v>1691</v>
      </c>
      <c r="R476" s="400"/>
      <c r="S476" s="401"/>
      <c r="T476" s="402" t="s">
        <v>955</v>
      </c>
      <c r="U476" s="454"/>
      <c r="V476" s="404">
        <f t="shared" si="100"/>
        <v>0</v>
      </c>
      <c r="W476" s="405" t="str">
        <f>IF(AND(P476&lt;[3]koment!$F$1,N476&gt;=[3]koment!$F$2),"Komentovat","")</f>
        <v/>
      </c>
      <c r="X476" s="406">
        <f t="shared" si="113"/>
        <v>49</v>
      </c>
      <c r="Y476" s="404" t="str">
        <f t="shared" si="101"/>
        <v xml:space="preserve"> </v>
      </c>
      <c r="Z476" s="407">
        <f t="shared" si="102"/>
        <v>0</v>
      </c>
      <c r="AA476" s="408" t="str">
        <f t="shared" si="103"/>
        <v>320061713000006123</v>
      </c>
      <c r="AB476" s="388"/>
      <c r="AC476" s="409">
        <f t="shared" si="96"/>
        <v>0</v>
      </c>
      <c r="AD476" s="388"/>
      <c r="AE476" s="388"/>
      <c r="AF476" s="388"/>
    </row>
    <row r="477" spans="1:32" outlineLevel="2" x14ac:dyDescent="0.2">
      <c r="A477" s="391">
        <f t="shared" si="107"/>
        <v>475</v>
      </c>
      <c r="B477" s="422" t="s">
        <v>952</v>
      </c>
      <c r="C477" s="393" t="s">
        <v>962</v>
      </c>
      <c r="D477" s="393">
        <v>300000</v>
      </c>
      <c r="E477" s="393">
        <v>6127</v>
      </c>
      <c r="F477" s="402"/>
      <c r="G477" s="394" t="s">
        <v>976</v>
      </c>
      <c r="H477" s="393"/>
      <c r="I477" s="393"/>
      <c r="J477" s="420"/>
      <c r="K477" s="420"/>
      <c r="L477" s="420">
        <v>3</v>
      </c>
      <c r="M477" s="421"/>
      <c r="N477" s="421">
        <v>130</v>
      </c>
      <c r="O477" s="420">
        <v>127</v>
      </c>
      <c r="P477" s="399">
        <f t="shared" si="109"/>
        <v>0.97692307692307689</v>
      </c>
      <c r="Q477" s="421"/>
      <c r="R477" s="400"/>
      <c r="S477" s="401"/>
      <c r="T477" s="402" t="s">
        <v>955</v>
      </c>
      <c r="U477" s="454"/>
      <c r="V477" s="404">
        <f t="shared" si="100"/>
        <v>0</v>
      </c>
      <c r="W477" s="405" t="str">
        <f>IF(AND(P477&lt;[3]koment!$F$1,N477&gt;=[3]koment!$F$2),"Komentovat","")</f>
        <v/>
      </c>
      <c r="X477" s="406">
        <f t="shared" si="113"/>
        <v>49</v>
      </c>
      <c r="Y477" s="404" t="str">
        <f t="shared" si="101"/>
        <v xml:space="preserve"> </v>
      </c>
      <c r="Z477" s="407">
        <f t="shared" si="102"/>
        <v>0</v>
      </c>
      <c r="AA477" s="408" t="str">
        <f t="shared" si="103"/>
        <v>320061713000006127</v>
      </c>
      <c r="AB477" s="388"/>
      <c r="AC477" s="409">
        <f t="shared" si="96"/>
        <v>0</v>
      </c>
      <c r="AD477" s="388"/>
      <c r="AE477" s="388"/>
      <c r="AF477" s="388"/>
    </row>
    <row r="478" spans="1:32" outlineLevel="1" x14ac:dyDescent="0.2">
      <c r="A478" s="391">
        <f t="shared" si="107"/>
        <v>476</v>
      </c>
      <c r="B478" s="422"/>
      <c r="C478" s="424" t="s">
        <v>977</v>
      </c>
      <c r="D478" s="393"/>
      <c r="E478" s="393"/>
      <c r="F478" s="402"/>
      <c r="G478" s="394"/>
      <c r="H478" s="393"/>
      <c r="I478" s="393"/>
      <c r="J478" s="420">
        <f t="shared" ref="J478:O478" si="114">SUBTOTAL(9,J460:J477)</f>
        <v>123861</v>
      </c>
      <c r="K478" s="420">
        <f t="shared" si="114"/>
        <v>0</v>
      </c>
      <c r="L478" s="420">
        <f t="shared" si="114"/>
        <v>636769</v>
      </c>
      <c r="M478" s="421">
        <f t="shared" si="114"/>
        <v>123399</v>
      </c>
      <c r="N478" s="421">
        <f t="shared" si="114"/>
        <v>98883</v>
      </c>
      <c r="O478" s="420">
        <f t="shared" si="114"/>
        <v>52452</v>
      </c>
      <c r="P478" s="399">
        <f t="shared" si="109"/>
        <v>0.53044507144807496</v>
      </c>
      <c r="Q478" s="421">
        <f>SUBTOTAL(9,Q460:Q477)</f>
        <v>97971</v>
      </c>
      <c r="R478" s="400">
        <f>SUBTOTAL(9,R460:R477)</f>
        <v>0</v>
      </c>
      <c r="S478" s="401">
        <f>SUBTOTAL(9,S460:S477)</f>
        <v>0</v>
      </c>
      <c r="T478" s="402"/>
      <c r="U478" s="454"/>
      <c r="V478" s="404"/>
      <c r="W478" s="405"/>
      <c r="X478" s="406"/>
      <c r="Y478" s="404" t="str">
        <f>IF($V478=0," ",IF(LEN($B478)=4,$B478*1,$B478))</f>
        <v xml:space="preserve"> </v>
      </c>
      <c r="Z478" s="407">
        <f>IF($Y478=" ",0,"ORG "&amp;$D478&amp;" - "&amp;$G478)</f>
        <v>0</v>
      </c>
      <c r="AA478" s="408" t="str">
        <f>$B478&amp;LEFT($C478,4)&amp;$D478&amp;$E478&amp;$F478</f>
        <v>Celk</v>
      </c>
      <c r="AB478" s="388"/>
      <c r="AC478" s="409"/>
      <c r="AD478" s="388"/>
      <c r="AE478" s="388"/>
      <c r="AF478" s="388"/>
    </row>
    <row r="479" spans="1:32" outlineLevel="2" x14ac:dyDescent="0.2">
      <c r="A479" s="391">
        <f t="shared" si="107"/>
        <v>477</v>
      </c>
      <c r="B479" s="422" t="s">
        <v>978</v>
      </c>
      <c r="C479" s="393" t="s">
        <v>979</v>
      </c>
      <c r="D479" s="393">
        <v>3074</v>
      </c>
      <c r="E479" s="393">
        <v>6129</v>
      </c>
      <c r="F479" s="402"/>
      <c r="G479" s="394" t="s">
        <v>980</v>
      </c>
      <c r="H479" s="423">
        <v>2009</v>
      </c>
      <c r="I479" s="423">
        <v>2018</v>
      </c>
      <c r="J479" s="420">
        <v>15000</v>
      </c>
      <c r="K479" s="420"/>
      <c r="L479" s="420">
        <v>4401</v>
      </c>
      <c r="M479" s="421">
        <v>2000</v>
      </c>
      <c r="N479" s="421">
        <v>1000</v>
      </c>
      <c r="O479" s="420">
        <v>211</v>
      </c>
      <c r="P479" s="399">
        <f t="shared" si="109"/>
        <v>0.21099999999999999</v>
      </c>
      <c r="Q479" s="421">
        <v>4000</v>
      </c>
      <c r="R479" s="400">
        <v>5599</v>
      </c>
      <c r="S479" s="401"/>
      <c r="T479" s="402" t="s">
        <v>981</v>
      </c>
      <c r="U479" s="454"/>
      <c r="V479" s="404">
        <f t="shared" si="100"/>
        <v>0</v>
      </c>
      <c r="W479" s="405" t="str">
        <f>IF(AND(P479&lt;[3]koment!$F$1,N479&gt;=[3]koment!$F$2),"Komentovat","")</f>
        <v>Komentovat</v>
      </c>
      <c r="X479" s="406">
        <f>IF(W479="Komentovat",X477+1,X477)</f>
        <v>50</v>
      </c>
      <c r="Y479" s="404" t="str">
        <f t="shared" si="101"/>
        <v xml:space="preserve"> </v>
      </c>
      <c r="Z479" s="407">
        <f t="shared" si="102"/>
        <v>0</v>
      </c>
      <c r="AA479" s="408" t="str">
        <f t="shared" si="103"/>
        <v>3900621130746129</v>
      </c>
      <c r="AB479" s="388"/>
      <c r="AC479" s="409">
        <f t="shared" si="96"/>
        <v>0</v>
      </c>
      <c r="AD479" s="388"/>
      <c r="AE479" s="388"/>
      <c r="AF479" s="388"/>
    </row>
    <row r="480" spans="1:32" outlineLevel="1" x14ac:dyDescent="0.2">
      <c r="A480" s="391">
        <f t="shared" si="107"/>
        <v>478</v>
      </c>
      <c r="B480" s="422"/>
      <c r="C480" s="424" t="s">
        <v>982</v>
      </c>
      <c r="D480" s="393"/>
      <c r="E480" s="393"/>
      <c r="F480" s="402"/>
      <c r="G480" s="394"/>
      <c r="H480" s="423"/>
      <c r="I480" s="423"/>
      <c r="J480" s="420">
        <f t="shared" ref="J480:O480" si="115">SUBTOTAL(9,J479:J479)</f>
        <v>15000</v>
      </c>
      <c r="K480" s="420">
        <f t="shared" si="115"/>
        <v>0</v>
      </c>
      <c r="L480" s="420">
        <f t="shared" si="115"/>
        <v>4401</v>
      </c>
      <c r="M480" s="421">
        <f t="shared" si="115"/>
        <v>2000</v>
      </c>
      <c r="N480" s="421">
        <f t="shared" si="115"/>
        <v>1000</v>
      </c>
      <c r="O480" s="420">
        <f t="shared" si="115"/>
        <v>211</v>
      </c>
      <c r="P480" s="399">
        <f t="shared" si="109"/>
        <v>0.21099999999999999</v>
      </c>
      <c r="Q480" s="421">
        <f>SUBTOTAL(9,Q479:Q479)</f>
        <v>4000</v>
      </c>
      <c r="R480" s="400">
        <f>SUBTOTAL(9,R479:R479)</f>
        <v>5599</v>
      </c>
      <c r="S480" s="401">
        <f>SUBTOTAL(9,S479:S479)</f>
        <v>0</v>
      </c>
      <c r="T480" s="402"/>
      <c r="U480" s="454"/>
      <c r="V480" s="404"/>
      <c r="W480" s="405"/>
      <c r="X480" s="406"/>
      <c r="Y480" s="404" t="str">
        <f>IF($V480=0," ",IF(LEN($B480)=4,$B480*1,$B480))</f>
        <v xml:space="preserve"> </v>
      </c>
      <c r="Z480" s="407">
        <f>IF($Y480=" ",0,"ORG "&amp;$D480&amp;" - "&amp;$G480)</f>
        <v>0</v>
      </c>
      <c r="AA480" s="408" t="str">
        <f>$B480&amp;LEFT($C480,4)&amp;$D480&amp;$E480&amp;$F480</f>
        <v>Celk</v>
      </c>
      <c r="AB480" s="388"/>
      <c r="AC480" s="409"/>
      <c r="AD480" s="388"/>
      <c r="AE480" s="388"/>
      <c r="AF480" s="388"/>
    </row>
    <row r="481" spans="1:32" outlineLevel="2" x14ac:dyDescent="0.2">
      <c r="A481" s="391">
        <f t="shared" si="107"/>
        <v>479</v>
      </c>
      <c r="B481" s="392" t="s">
        <v>271</v>
      </c>
      <c r="C481" s="393" t="s">
        <v>983</v>
      </c>
      <c r="D481" s="394">
        <v>2690</v>
      </c>
      <c r="E481" s="393">
        <v>6201</v>
      </c>
      <c r="F481" s="395"/>
      <c r="G481" s="426" t="s">
        <v>984</v>
      </c>
      <c r="H481" s="394">
        <v>2016</v>
      </c>
      <c r="I481" s="394">
        <v>2016</v>
      </c>
      <c r="J481" s="396">
        <v>266000</v>
      </c>
      <c r="K481" s="396"/>
      <c r="L481" s="397"/>
      <c r="M481" s="398">
        <v>233000</v>
      </c>
      <c r="N481" s="398">
        <v>266000</v>
      </c>
      <c r="O481" s="396">
        <v>264862</v>
      </c>
      <c r="P481" s="399">
        <f t="shared" si="109"/>
        <v>0.99572180451127823</v>
      </c>
      <c r="Q481" s="398"/>
      <c r="R481" s="400"/>
      <c r="S481" s="401"/>
      <c r="T481" s="402" t="s">
        <v>985</v>
      </c>
      <c r="U481" s="454"/>
      <c r="V481" s="404">
        <f t="shared" si="100"/>
        <v>0</v>
      </c>
      <c r="W481" s="405" t="str">
        <f>IF(AND(P481&lt;[3]koment!$F$1,N481&gt;=[3]koment!$F$2),"Komentovat","")</f>
        <v/>
      </c>
      <c r="X481" s="406">
        <f>IF(W481="Komentovat",X479+1,X479)</f>
        <v>50</v>
      </c>
      <c r="Y481" s="404" t="str">
        <f t="shared" si="101"/>
        <v xml:space="preserve"> </v>
      </c>
      <c r="Z481" s="407">
        <f t="shared" si="102"/>
        <v>0</v>
      </c>
      <c r="AA481" s="408" t="str">
        <f t="shared" si="103"/>
        <v>1700631026906201</v>
      </c>
      <c r="AB481" s="388"/>
      <c r="AC481" s="409">
        <f t="shared" si="96"/>
        <v>0</v>
      </c>
      <c r="AD481" s="388"/>
      <c r="AE481" s="388"/>
      <c r="AF481" s="388"/>
    </row>
    <row r="482" spans="1:32" outlineLevel="1" x14ac:dyDescent="0.2">
      <c r="A482" s="391">
        <f t="shared" si="107"/>
        <v>480</v>
      </c>
      <c r="B482" s="464"/>
      <c r="C482" s="465" t="s">
        <v>986</v>
      </c>
      <c r="D482" s="403"/>
      <c r="E482" s="466"/>
      <c r="F482" s="467"/>
      <c r="G482" s="468"/>
      <c r="H482" s="403"/>
      <c r="I482" s="403"/>
      <c r="J482" s="469">
        <f t="shared" ref="J482:O482" si="116">SUBTOTAL(9,J481:J481)</f>
        <v>266000</v>
      </c>
      <c r="K482" s="469">
        <f t="shared" si="116"/>
        <v>0</v>
      </c>
      <c r="L482" s="470">
        <f t="shared" si="116"/>
        <v>0</v>
      </c>
      <c r="M482" s="471">
        <f t="shared" si="116"/>
        <v>233000</v>
      </c>
      <c r="N482" s="471">
        <f t="shared" si="116"/>
        <v>266000</v>
      </c>
      <c r="O482" s="469">
        <f t="shared" si="116"/>
        <v>264862</v>
      </c>
      <c r="P482" s="399">
        <f t="shared" si="109"/>
        <v>0.99572180451127823</v>
      </c>
      <c r="Q482" s="471">
        <f>SUBTOTAL(9,Q481:Q481)</f>
        <v>0</v>
      </c>
      <c r="R482" s="472">
        <f>SUBTOTAL(9,R481:R481)</f>
        <v>0</v>
      </c>
      <c r="S482" s="473">
        <f>SUBTOTAL(9,S481:S481)</f>
        <v>0</v>
      </c>
      <c r="T482" s="454"/>
      <c r="U482" s="454"/>
      <c r="V482" s="404"/>
      <c r="W482" s="405"/>
      <c r="X482" s="406"/>
      <c r="Y482" s="404"/>
      <c r="Z482" s="407"/>
      <c r="AA482" s="408"/>
      <c r="AB482" s="388"/>
      <c r="AC482" s="409"/>
      <c r="AD482" s="388"/>
      <c r="AE482" s="388"/>
      <c r="AF482" s="388"/>
    </row>
    <row r="483" spans="1:32" x14ac:dyDescent="0.2">
      <c r="A483" s="391">
        <f t="shared" si="107"/>
        <v>481</v>
      </c>
      <c r="B483" s="464"/>
      <c r="C483" s="465" t="s">
        <v>987</v>
      </c>
      <c r="D483" s="403"/>
      <c r="E483" s="466"/>
      <c r="F483" s="467"/>
      <c r="G483" s="468"/>
      <c r="H483" s="403"/>
      <c r="I483" s="403"/>
      <c r="J483" s="469">
        <f t="shared" ref="J483:O483" si="117">SUBTOTAL(9,J3:J481)</f>
        <v>32387422</v>
      </c>
      <c r="K483" s="469">
        <f t="shared" si="117"/>
        <v>1484340</v>
      </c>
      <c r="L483" s="470">
        <f t="shared" si="117"/>
        <v>6672350</v>
      </c>
      <c r="M483" s="471">
        <f t="shared" si="117"/>
        <v>2476188</v>
      </c>
      <c r="N483" s="471">
        <f t="shared" si="117"/>
        <v>1987201</v>
      </c>
      <c r="O483" s="469">
        <f t="shared" si="117"/>
        <v>1717171</v>
      </c>
      <c r="P483" s="399">
        <f t="shared" si="109"/>
        <v>0.86411540654417951</v>
      </c>
      <c r="Q483" s="471">
        <f>SUBTOTAL(9,Q3:Q481)</f>
        <v>2150622</v>
      </c>
      <c r="R483" s="472">
        <f>SUBTOTAL(9,R3:R481)</f>
        <v>3533076</v>
      </c>
      <c r="S483" s="473">
        <f>SUBTOTAL(9,S3:S481)</f>
        <v>15466844</v>
      </c>
      <c r="T483" s="454"/>
      <c r="U483" s="454"/>
      <c r="V483" s="404"/>
      <c r="W483" s="405"/>
      <c r="X483" s="406"/>
      <c r="Y483" s="404"/>
      <c r="Z483" s="407"/>
      <c r="AA483" s="408"/>
      <c r="AB483" s="388"/>
      <c r="AC483" s="409"/>
      <c r="AD483" s="388"/>
      <c r="AE483" s="388"/>
      <c r="AF483" s="388"/>
    </row>
    <row r="484" spans="1:32" x14ac:dyDescent="0.2">
      <c r="B484" s="474"/>
      <c r="C484" s="475"/>
      <c r="D484" s="475"/>
      <c r="E484" s="475"/>
      <c r="F484" s="476"/>
      <c r="G484" s="476"/>
      <c r="H484" s="475"/>
      <c r="I484" s="475"/>
      <c r="J484" s="477"/>
      <c r="K484" s="477"/>
      <c r="L484" s="477"/>
      <c r="P484" s="478"/>
      <c r="Q484" s="477"/>
      <c r="R484" s="477"/>
      <c r="S484" s="476"/>
      <c r="T484" s="479"/>
      <c r="U484" s="480"/>
      <c r="V484" s="405"/>
      <c r="W484" s="406"/>
      <c r="X484" s="404"/>
      <c r="Y484" s="480"/>
      <c r="Z484" s="480"/>
      <c r="AA484" s="376"/>
    </row>
    <row r="485" spans="1:32" ht="7.5" customHeight="1" x14ac:dyDescent="0.2">
      <c r="B485" s="481"/>
      <c r="C485" s="479"/>
      <c r="D485" s="482"/>
      <c r="E485" s="482"/>
      <c r="F485" s="479"/>
      <c r="G485" s="479"/>
      <c r="H485" s="482"/>
      <c r="I485" s="482"/>
      <c r="J485" s="479"/>
      <c r="K485" s="479"/>
      <c r="L485" s="479"/>
      <c r="M485" s="483"/>
      <c r="N485" s="483"/>
      <c r="O485" s="483"/>
      <c r="P485" s="484"/>
      <c r="Q485" s="479"/>
      <c r="R485" s="479"/>
      <c r="S485" s="479"/>
      <c r="T485" s="479"/>
      <c r="U485" s="479"/>
      <c r="V485" s="480"/>
      <c r="W485" s="405"/>
      <c r="X485" s="485"/>
      <c r="Y485" s="480"/>
      <c r="Z485" s="480"/>
      <c r="AA485" s="480"/>
    </row>
    <row r="486" spans="1:32" ht="12.75" customHeight="1" x14ac:dyDescent="0.25">
      <c r="B486" s="481"/>
      <c r="G486" s="486" t="s">
        <v>988</v>
      </c>
      <c r="H486" s="487" t="s">
        <v>275</v>
      </c>
      <c r="I486" s="487" t="s">
        <v>304</v>
      </c>
      <c r="J486" s="487" t="s">
        <v>989</v>
      </c>
      <c r="K486" s="487" t="s">
        <v>410</v>
      </c>
      <c r="P486" s="488"/>
      <c r="Q486" s="489"/>
      <c r="R486" s="489"/>
      <c r="S486" s="490"/>
      <c r="T486" s="479"/>
      <c r="U486" s="479"/>
      <c r="V486" s="480"/>
      <c r="W486" s="405"/>
      <c r="X486" s="485"/>
      <c r="Y486" s="480"/>
      <c r="Z486" s="480"/>
      <c r="AA486" s="480"/>
    </row>
    <row r="487" spans="1:32" ht="9" customHeight="1" x14ac:dyDescent="0.2">
      <c r="B487" s="481"/>
      <c r="G487" s="479"/>
      <c r="H487" s="479"/>
      <c r="I487" s="479"/>
      <c r="J487" s="479"/>
      <c r="K487" s="479"/>
      <c r="M487" s="477"/>
      <c r="N487" s="477"/>
      <c r="O487" s="477"/>
      <c r="P487" s="488"/>
      <c r="Q487" s="479"/>
      <c r="R487" s="479"/>
      <c r="S487" s="479"/>
      <c r="T487" s="479"/>
      <c r="W487" s="405"/>
      <c r="Z487" s="480"/>
      <c r="AA487" s="480"/>
    </row>
    <row r="488" spans="1:32" x14ac:dyDescent="0.2">
      <c r="B488" s="481"/>
      <c r="G488" s="479" t="s">
        <v>990</v>
      </c>
      <c r="H488" s="491">
        <f>SUBTOTAL(9,M$3:M$484)-H490-H491-H493-H494-H489-H492</f>
        <v>1220492</v>
      </c>
      <c r="I488" s="491">
        <f>SUBTOTAL(9,N$3:N$484)-I490-I491-I493-I494-I489-I492</f>
        <v>1043847</v>
      </c>
      <c r="J488" s="491">
        <f>SUBTOTAL(9,O$3:O$484)-J490-J491-J493-J494-J489-J492</f>
        <v>962471</v>
      </c>
      <c r="K488" s="492">
        <f t="shared" ref="K488:K495" si="118">IF(I488&lt;=0," ",J488/I488)</f>
        <v>0.92204221499894146</v>
      </c>
      <c r="M488" s="493"/>
      <c r="N488" s="493"/>
      <c r="O488" s="494"/>
      <c r="P488" s="495"/>
      <c r="Q488" s="493"/>
      <c r="R488" s="493"/>
      <c r="S488" s="493"/>
      <c r="T488" s="493"/>
      <c r="W488" s="405"/>
      <c r="Z488" s="480"/>
      <c r="AA488" s="480"/>
    </row>
    <row r="489" spans="1:32" x14ac:dyDescent="0.2">
      <c r="B489" s="481"/>
      <c r="G489" s="479" t="s">
        <v>991</v>
      </c>
      <c r="H489" s="491">
        <f>SUMIFS(M$3:M$484,($F$3:$F$484),"S")</f>
        <v>227000</v>
      </c>
      <c r="I489" s="491">
        <f>SUMIFS(N$3:N$484,($F$3:$F$484),"S")</f>
        <v>213840</v>
      </c>
      <c r="J489" s="491">
        <f>SUMIFS(O$3:O$484,($F$3:$F$484),"S")</f>
        <v>161579</v>
      </c>
      <c r="K489" s="492">
        <f t="shared" si="118"/>
        <v>0.75560699588477365</v>
      </c>
      <c r="M489" s="493"/>
      <c r="N489" s="493"/>
      <c r="O489" s="494"/>
      <c r="P489" s="495"/>
      <c r="Q489" s="493"/>
      <c r="R489" s="493"/>
      <c r="S489" s="493"/>
      <c r="T489" s="493"/>
      <c r="W489" s="405"/>
      <c r="Z489" s="480"/>
      <c r="AA489" s="480"/>
    </row>
    <row r="490" spans="1:32" x14ac:dyDescent="0.2">
      <c r="B490" s="481"/>
      <c r="G490" s="479" t="s">
        <v>992</v>
      </c>
      <c r="H490" s="491">
        <f>SUMIFS(M$3:M$484,($F$3:$F$484),49)</f>
        <v>656700</v>
      </c>
      <c r="I490" s="491">
        <f>SUMIFS(N$3:N$484,($F$3:$F$484),49)</f>
        <v>554700</v>
      </c>
      <c r="J490" s="491">
        <f>SUMIFS(O$3:O$484,($F$3:$F$484),49)</f>
        <v>481297</v>
      </c>
      <c r="K490" s="492">
        <f t="shared" si="118"/>
        <v>0.86767081305210025</v>
      </c>
      <c r="M490" s="493"/>
      <c r="N490" s="493"/>
      <c r="O490" s="494"/>
      <c r="P490" s="495"/>
      <c r="Q490" s="493"/>
      <c r="R490" s="493"/>
      <c r="S490" s="493"/>
      <c r="T490" s="493"/>
      <c r="W490" s="405"/>
    </row>
    <row r="491" spans="1:32" x14ac:dyDescent="0.2">
      <c r="B491" s="481"/>
      <c r="G491" s="479" t="s">
        <v>993</v>
      </c>
      <c r="H491" s="496">
        <f>SUMIFS($M$3:$M$484,$D$3:$D$484,"&gt;5000",$D$3:$D$484,"&lt;=5999")</f>
        <v>186310</v>
      </c>
      <c r="I491" s="496">
        <f>SUMIFS($N$3:$N$484,$D$3:$D$484,"&gt;5000",$D$3:$D$484,"&lt;=5999")</f>
        <v>104056</v>
      </c>
      <c r="J491" s="496">
        <f>SUMIFS($O$3:$O$484,$D$3:$D$484,"&gt;5000",$D$3:$D$484,"&lt;=5999")</f>
        <v>68396</v>
      </c>
      <c r="K491" s="492">
        <f t="shared" si="118"/>
        <v>0.65729991543015298</v>
      </c>
      <c r="M491" s="493"/>
      <c r="N491" s="493"/>
      <c r="O491" s="497"/>
      <c r="P491" s="498"/>
      <c r="Q491" s="493"/>
      <c r="R491" s="493"/>
      <c r="S491" s="493"/>
      <c r="T491" s="493"/>
      <c r="W491" s="405"/>
      <c r="Z491" s="480"/>
      <c r="AA491" s="480"/>
    </row>
    <row r="492" spans="1:32" x14ac:dyDescent="0.2">
      <c r="B492" s="481"/>
      <c r="G492" s="479" t="s">
        <v>994</v>
      </c>
      <c r="H492" s="499">
        <f>SUMIFS(M$3:M$484,($F$3:$F$484),82)</f>
        <v>0</v>
      </c>
      <c r="I492" s="491">
        <f>SUMIFS(N$3:N$484,($F$3:$F$484),82)</f>
        <v>113</v>
      </c>
      <c r="J492" s="491">
        <f>SUMIFS(O$3:O$484,($F$3:$F$484),82)</f>
        <v>108</v>
      </c>
      <c r="K492" s="492">
        <f t="shared" si="118"/>
        <v>0.95575221238938057</v>
      </c>
      <c r="M492" s="493"/>
      <c r="N492" s="493"/>
      <c r="O492" s="497"/>
      <c r="P492" s="498"/>
      <c r="Q492" s="493"/>
      <c r="R492" s="493"/>
      <c r="S492" s="493"/>
      <c r="T492" s="493"/>
      <c r="W492" s="405"/>
      <c r="Z492" s="480"/>
      <c r="AA492" s="480"/>
    </row>
    <row r="493" spans="1:32" x14ac:dyDescent="0.2">
      <c r="B493" s="481"/>
      <c r="G493" s="479" t="s">
        <v>995</v>
      </c>
      <c r="H493" s="499">
        <f>SUMIFS(M$3:M$484,($F$3:$F$484),40)</f>
        <v>0</v>
      </c>
      <c r="I493" s="491">
        <f>SUMIFS(N$3:N$484,($F$3:$F$484),40)</f>
        <v>20715</v>
      </c>
      <c r="J493" s="491">
        <f>SUMIFS(O$3:O$484,($F$3:$F$484),40)</f>
        <v>8879</v>
      </c>
      <c r="K493" s="492">
        <f t="shared" si="118"/>
        <v>0.42862659908279027</v>
      </c>
      <c r="M493" s="493"/>
      <c r="N493" s="493"/>
      <c r="O493" s="494"/>
      <c r="P493" s="495"/>
      <c r="Q493" s="493"/>
      <c r="R493" s="493"/>
      <c r="S493" s="493"/>
      <c r="T493" s="493"/>
      <c r="W493" s="405"/>
      <c r="Z493" s="480"/>
      <c r="AA493" s="480"/>
    </row>
    <row r="494" spans="1:32" x14ac:dyDescent="0.2">
      <c r="B494" s="481"/>
      <c r="G494" s="476" t="s">
        <v>996</v>
      </c>
      <c r="H494" s="499">
        <f>SUMIFS(M$3:M$484,($F$3:$F$484),41)</f>
        <v>185686</v>
      </c>
      <c r="I494" s="499">
        <f>SUMIFS(N$3:N$484,($F$3:$F$484),41)</f>
        <v>49930</v>
      </c>
      <c r="J494" s="499">
        <f>SUMIFS(O$3:O$484,($F$3:$F$484),41)</f>
        <v>34441</v>
      </c>
      <c r="K494" s="492">
        <f t="shared" si="118"/>
        <v>0.68978569997997197</v>
      </c>
      <c r="M494" s="500"/>
      <c r="N494" s="500"/>
      <c r="O494" s="494"/>
      <c r="P494" s="495"/>
      <c r="Q494" s="493"/>
      <c r="R494" s="493"/>
      <c r="S494" s="493"/>
      <c r="T494" s="493"/>
      <c r="W494" s="480"/>
      <c r="Z494" s="480"/>
      <c r="AA494" s="480"/>
    </row>
    <row r="495" spans="1:32" x14ac:dyDescent="0.2">
      <c r="B495" s="481"/>
      <c r="G495" s="501" t="s">
        <v>997</v>
      </c>
      <c r="H495" s="502">
        <f>SUM(H488:H494)</f>
        <v>2476188</v>
      </c>
      <c r="I495" s="502">
        <f>SUM(I488:I494)</f>
        <v>1987201</v>
      </c>
      <c r="J495" s="502">
        <f>SUM(J488:J494)</f>
        <v>1717171</v>
      </c>
      <c r="K495" s="503">
        <f t="shared" si="118"/>
        <v>0.86411540654417951</v>
      </c>
      <c r="M495" s="494"/>
      <c r="N495" s="494"/>
      <c r="O495" s="494"/>
      <c r="P495" s="495"/>
      <c r="Q495" s="493"/>
      <c r="R495" s="493"/>
      <c r="S495" s="493"/>
      <c r="T495" s="493"/>
    </row>
    <row r="496" spans="1:32" x14ac:dyDescent="0.2">
      <c r="P496" s="488"/>
    </row>
    <row r="497" spans="16:16" x14ac:dyDescent="0.2">
      <c r="P497" s="488"/>
    </row>
    <row r="498" spans="16:16" x14ac:dyDescent="0.2">
      <c r="P498" s="488"/>
    </row>
    <row r="499" spans="16:16" x14ac:dyDescent="0.2">
      <c r="P499" s="488"/>
    </row>
    <row r="500" spans="16:16" x14ac:dyDescent="0.2">
      <c r="P500" s="488"/>
    </row>
    <row r="501" spans="16:16" x14ac:dyDescent="0.2">
      <c r="P501" s="488"/>
    </row>
    <row r="502" spans="16:16" x14ac:dyDescent="0.2">
      <c r="P502" s="488"/>
    </row>
    <row r="503" spans="16:16" x14ac:dyDescent="0.2">
      <c r="P503" s="488"/>
    </row>
    <row r="504" spans="16:16" x14ac:dyDescent="0.2">
      <c r="P504" s="488"/>
    </row>
    <row r="505" spans="16:16" x14ac:dyDescent="0.2">
      <c r="P505" s="488"/>
    </row>
    <row r="506" spans="16:16" x14ac:dyDescent="0.2">
      <c r="P506" s="488"/>
    </row>
    <row r="507" spans="16:16" x14ac:dyDescent="0.2">
      <c r="P507" s="488"/>
    </row>
    <row r="508" spans="16:16" x14ac:dyDescent="0.2">
      <c r="P508" s="488"/>
    </row>
    <row r="509" spans="16:16" x14ac:dyDescent="0.2">
      <c r="P509" s="488"/>
    </row>
    <row r="510" spans="16:16" x14ac:dyDescent="0.2">
      <c r="P510" s="488"/>
    </row>
    <row r="511" spans="16:16" x14ac:dyDescent="0.2">
      <c r="P511" s="488"/>
    </row>
    <row r="512" spans="16:16" x14ac:dyDescent="0.2">
      <c r="P512" s="488"/>
    </row>
    <row r="513" spans="16:16" x14ac:dyDescent="0.2">
      <c r="P513" s="488"/>
    </row>
    <row r="514" spans="16:16" x14ac:dyDescent="0.2">
      <c r="P514" s="488"/>
    </row>
    <row r="515" spans="16:16" x14ac:dyDescent="0.2">
      <c r="P515" s="488"/>
    </row>
    <row r="516" spans="16:16" x14ac:dyDescent="0.2">
      <c r="P516" s="488"/>
    </row>
    <row r="517" spans="16:16" x14ac:dyDescent="0.2">
      <c r="P517" s="488"/>
    </row>
    <row r="518" spans="16:16" x14ac:dyDescent="0.2">
      <c r="P518" s="488"/>
    </row>
    <row r="519" spans="16:16" x14ac:dyDescent="0.2">
      <c r="P519" s="488"/>
    </row>
    <row r="520" spans="16:16" x14ac:dyDescent="0.2">
      <c r="P520" s="488"/>
    </row>
    <row r="521" spans="16:16" x14ac:dyDescent="0.2">
      <c r="P521" s="488"/>
    </row>
    <row r="522" spans="16:16" x14ac:dyDescent="0.2">
      <c r="P522" s="488"/>
    </row>
    <row r="523" spans="16:16" x14ac:dyDescent="0.2">
      <c r="P523" s="488"/>
    </row>
    <row r="524" spans="16:16" x14ac:dyDescent="0.2">
      <c r="P524" s="488"/>
    </row>
    <row r="525" spans="16:16" x14ac:dyDescent="0.2">
      <c r="P525" s="488"/>
    </row>
    <row r="526" spans="16:16" x14ac:dyDescent="0.2">
      <c r="P526" s="488"/>
    </row>
    <row r="527" spans="16:16" x14ac:dyDescent="0.2">
      <c r="P527" s="488"/>
    </row>
    <row r="528" spans="16:16" x14ac:dyDescent="0.2">
      <c r="P528" s="488"/>
    </row>
    <row r="529" spans="16:16" x14ac:dyDescent="0.2">
      <c r="P529" s="488"/>
    </row>
    <row r="530" spans="16:16" x14ac:dyDescent="0.2">
      <c r="P530" s="488"/>
    </row>
    <row r="531" spans="16:16" x14ac:dyDescent="0.2">
      <c r="P531" s="488"/>
    </row>
    <row r="532" spans="16:16" x14ac:dyDescent="0.2">
      <c r="P532" s="488"/>
    </row>
    <row r="533" spans="16:16" x14ac:dyDescent="0.2">
      <c r="P533" s="488"/>
    </row>
    <row r="534" spans="16:16" x14ac:dyDescent="0.2">
      <c r="P534" s="488"/>
    </row>
    <row r="535" spans="16:16" x14ac:dyDescent="0.2">
      <c r="P535" s="488"/>
    </row>
    <row r="536" spans="16:16" x14ac:dyDescent="0.2">
      <c r="P536" s="488"/>
    </row>
    <row r="537" spans="16:16" x14ac:dyDescent="0.2">
      <c r="P537" s="488"/>
    </row>
    <row r="538" spans="16:16" x14ac:dyDescent="0.2">
      <c r="P538" s="488"/>
    </row>
    <row r="539" spans="16:16" x14ac:dyDescent="0.2">
      <c r="P539" s="488"/>
    </row>
    <row r="540" spans="16:16" x14ac:dyDescent="0.2">
      <c r="P540" s="488"/>
    </row>
    <row r="541" spans="16:16" x14ac:dyDescent="0.2">
      <c r="P541" s="488"/>
    </row>
    <row r="542" spans="16:16" x14ac:dyDescent="0.2">
      <c r="P542" s="488"/>
    </row>
    <row r="543" spans="16:16" x14ac:dyDescent="0.2">
      <c r="P543" s="488"/>
    </row>
    <row r="544" spans="16:16" x14ac:dyDescent="0.2">
      <c r="P544" s="488"/>
    </row>
    <row r="545" spans="16:16" x14ac:dyDescent="0.2">
      <c r="P545" s="488"/>
    </row>
  </sheetData>
  <sheetProtection sheet="1" objects="1" scenarios="1" formatCells="0" formatColumns="0" sort="0" autoFilter="0"/>
  <autoFilter ref="A2:T481"/>
  <conditionalFormatting sqref="AC3:AC483">
    <cfRule type="cellIs" dxfId="10" priority="4" operator="notEqual">
      <formula>0</formula>
    </cfRule>
  </conditionalFormatting>
  <conditionalFormatting sqref="G152">
    <cfRule type="expression" dxfId="9" priority="3">
      <formula>LEFT($C152,6)="Celkem"</formula>
    </cfRule>
  </conditionalFormatting>
  <conditionalFormatting sqref="G57">
    <cfRule type="expression" dxfId="8" priority="1">
      <formula>LEFT($C57,7)="Celkový"</formula>
    </cfRule>
    <cfRule type="expression" dxfId="7" priority="2">
      <formula>LEFT($C57,6)="Celkem"</formula>
    </cfRule>
  </conditionalFormatting>
  <conditionalFormatting sqref="B3:T483">
    <cfRule type="expression" dxfId="6" priority="5">
      <formula>LEFT($C3,7)="Celkový"</formula>
    </cfRule>
    <cfRule type="expression" dxfId="5" priority="6">
      <formula>LEFT($C3,6)="Celkem"</formula>
    </cfRule>
  </conditionalFormatting>
  <printOptions horizontalCentered="1"/>
  <pageMargins left="0.39370078740157483" right="0.39370078740157483" top="0.78740157480314965" bottom="0.31496062992125984" header="0.47244094488188981" footer="0.35433070866141736"/>
  <pageSetup paperSize="9" scale="67" orientation="landscape" r:id="rId1"/>
  <headerFooter>
    <oddHeader>&amp;C&amp;"Calibri,Tučné"&amp;14Čerpání rozpočtu kapitálových výdajů města k 31.12.2016 - závazný plán (v tis. Kč)</oddHeader>
    <oddFooter>&amp;R&amp;P</oddFooter>
  </headerFooter>
  <colBreaks count="1" manualBreakCount="1">
    <brk id="20" max="1048575" man="1"/>
  </colBreaks>
  <drawing r:id="rId2"/>
  <legacyDrawing r:id="rId3"/>
  <tableParts count="1">
    <tablePart r:id="rId4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" id="{7D18138D-0AF1-4E5B-B771-0E349490F319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2" iconId="0"/>
              <x14:cfIcon iconSet="3Symbols2" iconId="2"/>
              <x14:cfIcon iconSet="3Symbols2" iconId="0"/>
            </x14:iconSet>
          </x14:cfRule>
          <xm:sqref>AC3:AC483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27D4E3435A3B64688955AA93779053B" ma:contentTypeVersion="2" ma:contentTypeDescription="Vytvoří nový dokument" ma:contentTypeScope="" ma:versionID="f05caed5b13ec7dc0f6cd33179c2088d">
  <xsd:schema xmlns:xsd="http://www.w3.org/2001/XMLSchema" xmlns:xs="http://www.w3.org/2001/XMLSchema" xmlns:p="http://schemas.microsoft.com/office/2006/metadata/properties" xmlns:ns2="fc3156d0-6477-4e59-85db-677a3ac3ddef" xmlns:ns3="626c80ca-c64a-4e2b-8fdc-4ca129da90da" targetNamespace="http://schemas.microsoft.com/office/2006/metadata/properties" ma:root="true" ma:fieldsID="2efad211980f0112257437626d6fcd5f" ns2:_="" ns3:_="">
    <xsd:import namespace="fc3156d0-6477-4e59-85db-677a3ac3ddef"/>
    <xsd:import namespace="626c80ca-c64a-4e2b-8fdc-4ca129da90d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Rok"/>
                <xsd:element ref="ns3:Pln_x011b_n_x00ed__x0020_rozpo_x010d_tu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3156d0-6477-4e59-85db-677a3ac3ddef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6c80ca-c64a-4e2b-8fdc-4ca129da90da" elementFormDefault="qualified">
    <xsd:import namespace="http://schemas.microsoft.com/office/2006/documentManagement/types"/>
    <xsd:import namespace="http://schemas.microsoft.com/office/infopath/2007/PartnerControls"/>
    <xsd:element name="Rok" ma:index="11" ma:displayName="Rok" ma:list="{4661d655-69a6-47d3-b52d-dd184a6614f4}" ma:internalName="Rok" ma:showField="Pln_x011b_n_x00ed__x002d_roky">
      <xsd:simpleType>
        <xsd:restriction base="dms:Lookup"/>
      </xsd:simpleType>
    </xsd:element>
    <xsd:element name="Pln_x011b_n_x00ed__x0020_rozpo_x010d_tu" ma:index="12" ma:displayName="Plnění rozpočtu" ma:list="{4661d655-69a6-47d3-b52d-dd184a6614f4}" ma:internalName="Pln_x011b_n_x00ed__x0020_rozpo_x010d_tu" ma:showField="Pln_x011b_n_x00ed__x002d_Q">
      <xsd:simpleType>
        <xsd:restriction base="dms:Lookup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ln_x011b_n_x00ed__x0020_rozpo_x010d_tu xmlns="626c80ca-c64a-4e2b-8fdc-4ca129da90da">4</Pln_x011b_n_x00ed__x0020_rozpo_x010d_tu>
    <Rok xmlns="626c80ca-c64a-4e2b-8fdc-4ca129da90da">18</Rok>
    <_dlc_DocId xmlns="fc3156d0-6477-4e59-85db-677a3ac3ddef">K6F56YJ4D42X-540-894</_dlc_DocId>
    <_dlc_DocIdUrl xmlns="fc3156d0-6477-4e59-85db-677a3ac3ddef">
      <Url>http://sharepoint.brno.cz/ORF/rozpocet/_layouts/15/DocIdRedir.aspx?ID=K6F56YJ4D42X-540-894</Url>
      <Description>K6F56YJ4D42X-540-894</Description>
    </_dlc_DocIdUrl>
  </documentManagement>
</p:properti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LongProperties xmlns="http://schemas.microsoft.com/office/2006/metadata/longProperties"/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8040A6C-A03D-4925-825D-4EB65B32FA7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c3156d0-6477-4e59-85db-677a3ac3ddef"/>
    <ds:schemaRef ds:uri="626c80ca-c64a-4e2b-8fdc-4ca129da90d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1C6E688-0867-4218-8E2B-F18253F3151E}">
  <ds:schemaRefs>
    <ds:schemaRef ds:uri="fc3156d0-6477-4e59-85db-677a3ac3ddef"/>
    <ds:schemaRef ds:uri="http://schemas.microsoft.com/office/infopath/2007/PartnerControls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626c80ca-c64a-4e2b-8fdc-4ca129da90da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250A58F7-AC2C-4EB4-833D-7D481537A57A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A97443E6-A190-4FA9-AEDA-1FBDE0A6DB37}">
  <ds:schemaRefs>
    <ds:schemaRef ds:uri="http://schemas.microsoft.com/office/2006/metadata/longProperties"/>
  </ds:schemaRefs>
</ds:datastoreItem>
</file>

<file path=customXml/itemProps5.xml><?xml version="1.0" encoding="utf-8"?>
<ds:datastoreItem xmlns:ds="http://schemas.openxmlformats.org/officeDocument/2006/customXml" ds:itemID="{9883E9CE-DAC4-42C3-9199-14437258F6A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8</vt:i4>
      </vt:variant>
      <vt:variant>
        <vt:lpstr>Pojmenované oblasti</vt:lpstr>
      </vt:variant>
      <vt:variant>
        <vt:i4>17</vt:i4>
      </vt:variant>
    </vt:vector>
  </HeadingPairs>
  <TitlesOfParts>
    <vt:vector size="25" baseType="lpstr">
      <vt:lpstr>Daňové</vt:lpstr>
      <vt:lpstr>Nedaňové</vt:lpstr>
      <vt:lpstr>Kapitálové</vt:lpstr>
      <vt:lpstr>Transfery</vt:lpstr>
      <vt:lpstr>Běžné_výd</vt:lpstr>
      <vt:lpstr>BV-položky</vt:lpstr>
      <vt:lpstr>Kapitálové_výd</vt:lpstr>
      <vt:lpstr>Investice</vt:lpstr>
      <vt:lpstr>Běžné_výd!Názvy_tisku</vt:lpstr>
      <vt:lpstr>'BV-položky'!Názvy_tisku</vt:lpstr>
      <vt:lpstr>Daňové!Názvy_tisku</vt:lpstr>
      <vt:lpstr>Investice!Názvy_tisku</vt:lpstr>
      <vt:lpstr>Kapitálové!Názvy_tisku</vt:lpstr>
      <vt:lpstr>Kapitálové_výd!Názvy_tisku</vt:lpstr>
      <vt:lpstr>Nedaňové!Názvy_tisku</vt:lpstr>
      <vt:lpstr>Transfery!Názvy_tisku</vt:lpstr>
      <vt:lpstr>Běžné_výd!Oblast_tisku</vt:lpstr>
      <vt:lpstr>'BV-položky'!Oblast_tisku</vt:lpstr>
      <vt:lpstr>Daňové!Oblast_tisku</vt:lpstr>
      <vt:lpstr>Investice!Oblast_tisku</vt:lpstr>
      <vt:lpstr>Kapitálové!Oblast_tisku</vt:lpstr>
      <vt:lpstr>Kapitálové_výd!Oblast_tisku</vt:lpstr>
      <vt:lpstr>Nedaňové!Oblast_tisku</vt:lpstr>
      <vt:lpstr>Transfery!Oblast_tisku</vt:lpstr>
      <vt:lpstr>paragraf</vt:lpstr>
    </vt:vector>
  </TitlesOfParts>
  <Company>MMB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MMB</dc:creator>
  <cp:lastModifiedBy>Jiri Trnecka</cp:lastModifiedBy>
  <cp:lastPrinted>2017-06-19T09:31:46Z</cp:lastPrinted>
  <dcterms:created xsi:type="dcterms:W3CDTF">2001-09-17T09:09:31Z</dcterms:created>
  <dcterms:modified xsi:type="dcterms:W3CDTF">2017-06-19T09:32:06Z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">
    <vt:lpwstr>K6F56YJ4D42X-540-677</vt:lpwstr>
  </property>
  <property fmtid="{D5CDD505-2E9C-101B-9397-08002B2CF9AE}" pid="3" name="_dlc_DocIdItemGuid">
    <vt:lpwstr>c6dc9aac-d260-4a18-b425-d4a2c0952eef</vt:lpwstr>
  </property>
  <property fmtid="{D5CDD505-2E9C-101B-9397-08002B2CF9AE}" pid="4" name="_dlc_DocIdUrl">
    <vt:lpwstr>http://sharepoint.brno.cz/ORF/rozpocet/_layouts/15/DocIdRedir.aspx?ID=K6F56YJ4D42X-540-677, K6F56YJ4D42X-540-677</vt:lpwstr>
  </property>
  <property fmtid="{D5CDD505-2E9C-101B-9397-08002B2CF9AE}" pid="5" name="ContentTypeId">
    <vt:lpwstr>0x010100C27D4E3435A3B64688955AA93779053B</vt:lpwstr>
  </property>
</Properties>
</file>