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Souhrnný rozpočet\Souhrnný rozpočet 2024\"/>
    </mc:Choice>
  </mc:AlternateContent>
  <xr:revisionPtr revIDLastSave="0" documentId="13_ncr:1_{F9C3AC07-9AD6-4149-9360-2AD3F8CAECC5}" xr6:coauthVersionLast="47" xr6:coauthVersionMax="47" xr10:uidLastSave="{00000000-0000-0000-0000-000000000000}"/>
  <bookViews>
    <workbookView xWindow="-120" yWindow="-120" windowWidth="29040" windowHeight="15720" tabRatio="721" xr2:uid="{00000000-000D-0000-FFFF-FFFF00000000}"/>
  </bookViews>
  <sheets>
    <sheet name="Bilance" sheetId="1" r:id="rId1"/>
    <sheet name="Transfery" sheetId="2" r:id="rId2"/>
    <sheet name="Příjmy" sheetId="4" r:id="rId3"/>
    <sheet name="Graf_prijmy" sheetId="9" r:id="rId4"/>
    <sheet name="Daňové a Transfery" sheetId="5" r:id="rId5"/>
    <sheet name="N a K" sheetId="6" r:id="rId6"/>
    <sheet name="Výdaje" sheetId="7" r:id="rId7"/>
    <sheet name="Grafy_vydaje" sheetId="10" r:id="rId8"/>
    <sheet name="B a K" sheetId="8" r:id="rId9"/>
  </sheets>
  <definedNames>
    <definedName name="_xlnm._FilterDatabase" localSheetId="8">#REF!</definedName>
    <definedName name="_xlnm._FilterDatabase" localSheetId="2" hidden="1">Příjmy!#REF!</definedName>
    <definedName name="_xlnm._FilterDatabase" localSheetId="6" hidden="1">Výdaje!#REF!</definedName>
    <definedName name="_xlnm._FilterDatabase">#REF!</definedName>
    <definedName name="fghsdfassččč" localSheetId="8">#REF!</definedName>
    <definedName name="fghtfhft" localSheetId="8">#REF!</definedName>
    <definedName name="gfhfghfghghj" localSheetId="8" hidden="1">'B a K'!$A$5:$E$10</definedName>
    <definedName name="ghjsrfsefjh" localSheetId="8">'B a K'!$A$7:$E$37</definedName>
    <definedName name="hhfhfghh" localSheetId="8">#REF!</definedName>
    <definedName name="jkljhl565" localSheetId="8">#REF!</definedName>
    <definedName name="_xlnm.Print_Titles" localSheetId="8">'B a K'!$1:$5</definedName>
    <definedName name="_xlnm.Print_Titles" localSheetId="4">'Daňové a Transfery'!$4:$5</definedName>
    <definedName name="_xlnm.Print_Titles" localSheetId="5">'N a K'!$1:$6</definedName>
    <definedName name="_xlnm.Print_Area" localSheetId="8">'B a K'!$A$1:$M$206</definedName>
    <definedName name="_xlnm.Print_Area" localSheetId="4">'Daňové a Transfery'!$A$1:$G$58</definedName>
    <definedName name="_xlnm.Print_Area" localSheetId="7">Grafy_vydaje!$A$1:$K$58</definedName>
    <definedName name="_xlnm.Print_Area" localSheetId="5">'N a K'!$A$1:$J$118</definedName>
    <definedName name="_xlnm.Print_Area" localSheetId="2">Příjmy!$A$1:$H$35</definedName>
    <definedName name="_xlnm.Print_Area" localSheetId="1">Transfery!$A$1:$D$54</definedName>
    <definedName name="_xlnm.Print_Area" localSheetId="6">Výdaje!$A$1:$K$32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4" i="8" l="1"/>
  <c r="K56" i="8"/>
  <c r="K13" i="8"/>
  <c r="K195" i="8"/>
  <c r="E11" i="8"/>
  <c r="M184" i="8"/>
  <c r="L184" i="8"/>
  <c r="K184" i="8"/>
  <c r="E184" i="8"/>
  <c r="B184" i="8"/>
  <c r="A184" i="8"/>
  <c r="M101" i="8"/>
  <c r="L101" i="8"/>
  <c r="H101" i="8"/>
  <c r="E101" i="8"/>
  <c r="B101" i="8"/>
  <c r="A101" i="8"/>
  <c r="E84" i="8"/>
  <c r="M84" i="8"/>
  <c r="A84" i="8"/>
  <c r="B84" i="8"/>
  <c r="E56" i="8"/>
  <c r="M56" i="8"/>
  <c r="E195" i="8"/>
  <c r="H195" i="8"/>
  <c r="M172" i="8"/>
  <c r="L172" i="8"/>
  <c r="K172" i="8" s="1"/>
  <c r="H172" i="8"/>
  <c r="E172" i="8"/>
  <c r="B172" i="8"/>
  <c r="A172" i="8"/>
  <c r="K101" i="8" l="1"/>
  <c r="F70" i="1"/>
  <c r="D72" i="1"/>
  <c r="F63" i="1"/>
  <c r="F46" i="1"/>
  <c r="F39" i="1"/>
  <c r="F55" i="1"/>
  <c r="F36" i="1"/>
  <c r="M66" i="8"/>
  <c r="L66" i="8"/>
  <c r="H66" i="8"/>
  <c r="E66" i="8"/>
  <c r="A66" i="8"/>
  <c r="H18" i="8"/>
  <c r="M18" i="8"/>
  <c r="L18" i="8"/>
  <c r="K18" i="8"/>
  <c r="E18" i="8"/>
  <c r="B18" i="8"/>
  <c r="A18" i="8"/>
  <c r="H96" i="6"/>
  <c r="H27" i="4"/>
  <c r="I97" i="6"/>
  <c r="H97" i="6" s="1"/>
  <c r="F27" i="4" s="1"/>
  <c r="G97" i="6"/>
  <c r="E27" i="4" s="1"/>
  <c r="F97" i="6"/>
  <c r="M96" i="6"/>
  <c r="M97" i="6" s="1"/>
  <c r="L96" i="6"/>
  <c r="L97" i="6" s="1"/>
  <c r="E96" i="6"/>
  <c r="E97" i="6" s="1"/>
  <c r="M45" i="6"/>
  <c r="L45" i="6"/>
  <c r="E45" i="6"/>
  <c r="E63" i="1"/>
  <c r="E58" i="1"/>
  <c r="E46" i="1"/>
  <c r="E59" i="1" s="1"/>
  <c r="H98" i="8"/>
  <c r="H165" i="8"/>
  <c r="E98" i="8"/>
  <c r="E99" i="8"/>
  <c r="E100" i="8"/>
  <c r="E102" i="8"/>
  <c r="K66" i="8" l="1"/>
  <c r="D27" i="4"/>
  <c r="C27" i="4"/>
  <c r="K96" i="6"/>
  <c r="K97" i="6" s="1"/>
  <c r="G27" i="4"/>
  <c r="K45" i="6"/>
  <c r="M114" i="8" l="1"/>
  <c r="L114" i="8"/>
  <c r="H114" i="8"/>
  <c r="E114" i="8"/>
  <c r="B114" i="8"/>
  <c r="A114" i="8"/>
  <c r="E38" i="6"/>
  <c r="F39" i="6"/>
  <c r="G39" i="6"/>
  <c r="I39" i="6"/>
  <c r="J39" i="6"/>
  <c r="L110" i="8"/>
  <c r="L98" i="8"/>
  <c r="K98" i="8" s="1"/>
  <c r="L86" i="8"/>
  <c r="L85" i="8"/>
  <c r="L83" i="8"/>
  <c r="L82" i="8"/>
  <c r="L81" i="8"/>
  <c r="L67" i="8"/>
  <c r="L64" i="8"/>
  <c r="L60" i="8"/>
  <c r="L59" i="8"/>
  <c r="L58" i="8"/>
  <c r="L53" i="8"/>
  <c r="L46" i="8"/>
  <c r="L43" i="8"/>
  <c r="L31" i="8"/>
  <c r="K31" i="8" s="1"/>
  <c r="L27" i="8"/>
  <c r="L22" i="8"/>
  <c r="L20" i="8"/>
  <c r="L12" i="8"/>
  <c r="L7" i="8"/>
  <c r="E31" i="8"/>
  <c r="A31" i="8"/>
  <c r="B31" i="8"/>
  <c r="B98" i="8"/>
  <c r="A98" i="8"/>
  <c r="F35" i="6"/>
  <c r="G35" i="6"/>
  <c r="I35" i="6"/>
  <c r="J35" i="6"/>
  <c r="M33" i="6"/>
  <c r="L33" i="6"/>
  <c r="H33" i="6"/>
  <c r="E33" i="6"/>
  <c r="K114" i="8" l="1"/>
  <c r="K33" i="6"/>
  <c r="E60" i="1" l="1"/>
  <c r="Q18" i="10" l="1"/>
  <c r="R20" i="10" s="1"/>
  <c r="M194" i="8"/>
  <c r="L194" i="8"/>
  <c r="M185" i="8"/>
  <c r="L185" i="8"/>
  <c r="M183" i="8"/>
  <c r="L183" i="8"/>
  <c r="M178" i="8"/>
  <c r="L178" i="8"/>
  <c r="M173" i="8"/>
  <c r="L173" i="8"/>
  <c r="M171" i="8"/>
  <c r="L171" i="8"/>
  <c r="M168" i="8"/>
  <c r="L168" i="8"/>
  <c r="M167" i="8"/>
  <c r="L167" i="8"/>
  <c r="M166" i="8"/>
  <c r="L166" i="8"/>
  <c r="M165" i="8"/>
  <c r="L165" i="8"/>
  <c r="M164" i="8"/>
  <c r="L164" i="8"/>
  <c r="M159" i="8"/>
  <c r="L159" i="8"/>
  <c r="M158" i="8"/>
  <c r="L158" i="8"/>
  <c r="M157" i="8"/>
  <c r="L157" i="8"/>
  <c r="M156" i="8"/>
  <c r="L156" i="8"/>
  <c r="M155" i="8"/>
  <c r="L155" i="8"/>
  <c r="M154" i="8"/>
  <c r="L154" i="8"/>
  <c r="M153" i="8"/>
  <c r="L153" i="8"/>
  <c r="M152" i="8"/>
  <c r="L152" i="8"/>
  <c r="M151" i="8"/>
  <c r="L151" i="8"/>
  <c r="M150" i="8"/>
  <c r="L150" i="8"/>
  <c r="M149" i="8"/>
  <c r="L149" i="8"/>
  <c r="M148" i="8"/>
  <c r="L148" i="8"/>
  <c r="M147" i="8"/>
  <c r="L147" i="8"/>
  <c r="M146" i="8"/>
  <c r="L146" i="8"/>
  <c r="M145" i="8"/>
  <c r="L145" i="8"/>
  <c r="M134" i="8"/>
  <c r="L134" i="8"/>
  <c r="M133" i="8"/>
  <c r="L133" i="8"/>
  <c r="M132" i="8"/>
  <c r="L132" i="8"/>
  <c r="M131" i="8"/>
  <c r="L131" i="8"/>
  <c r="M130" i="8"/>
  <c r="L130" i="8"/>
  <c r="M129" i="8"/>
  <c r="L129" i="8"/>
  <c r="M128" i="8"/>
  <c r="L128" i="8"/>
  <c r="M127" i="8"/>
  <c r="L127" i="8"/>
  <c r="M126" i="8"/>
  <c r="L126" i="8"/>
  <c r="M125" i="8"/>
  <c r="L125" i="8"/>
  <c r="M124" i="8"/>
  <c r="L124" i="8"/>
  <c r="M123" i="8"/>
  <c r="L123" i="8"/>
  <c r="M122" i="8"/>
  <c r="L122" i="8"/>
  <c r="M121" i="8"/>
  <c r="L121" i="8"/>
  <c r="M118" i="8"/>
  <c r="L118" i="8"/>
  <c r="M117" i="8"/>
  <c r="L117" i="8"/>
  <c r="M116" i="8"/>
  <c r="L116" i="8"/>
  <c r="M115" i="8"/>
  <c r="L115" i="8"/>
  <c r="M113" i="8"/>
  <c r="L113" i="8"/>
  <c r="M112" i="8"/>
  <c r="L112" i="8"/>
  <c r="M111" i="8"/>
  <c r="L111" i="8"/>
  <c r="M110" i="8"/>
  <c r="M109" i="8"/>
  <c r="L109" i="8"/>
  <c r="M108" i="8"/>
  <c r="L108" i="8"/>
  <c r="M104" i="8"/>
  <c r="L104" i="8"/>
  <c r="M103" i="8"/>
  <c r="L103" i="8"/>
  <c r="M102" i="8"/>
  <c r="L102" i="8"/>
  <c r="M100" i="8"/>
  <c r="L100" i="8"/>
  <c r="K100" i="8" s="1"/>
  <c r="M99" i="8"/>
  <c r="L99" i="8"/>
  <c r="M97" i="8"/>
  <c r="L97" i="8"/>
  <c r="M96" i="8"/>
  <c r="L96" i="8"/>
  <c r="M95" i="8"/>
  <c r="L95" i="8"/>
  <c r="M86" i="8"/>
  <c r="M85" i="8"/>
  <c r="M83" i="8"/>
  <c r="M82" i="8"/>
  <c r="M81" i="8"/>
  <c r="M80" i="8"/>
  <c r="L80" i="8"/>
  <c r="M79" i="8"/>
  <c r="L79" i="8"/>
  <c r="M78" i="8"/>
  <c r="L78" i="8"/>
  <c r="M77" i="8"/>
  <c r="L77" i="8"/>
  <c r="M76" i="8"/>
  <c r="L76" i="8"/>
  <c r="M75" i="8"/>
  <c r="L75" i="8"/>
  <c r="M74" i="8"/>
  <c r="L74" i="8"/>
  <c r="M73" i="8"/>
  <c r="L73" i="8"/>
  <c r="M67" i="8"/>
  <c r="M65" i="8"/>
  <c r="L65" i="8"/>
  <c r="M64" i="8"/>
  <c r="M60" i="8"/>
  <c r="M59" i="8"/>
  <c r="M58" i="8"/>
  <c r="M57" i="8"/>
  <c r="L57" i="8"/>
  <c r="M55" i="8"/>
  <c r="L55" i="8"/>
  <c r="M54" i="8"/>
  <c r="L54" i="8"/>
  <c r="M53" i="8"/>
  <c r="M52" i="8"/>
  <c r="L52" i="8"/>
  <c r="M51" i="8"/>
  <c r="L51" i="8"/>
  <c r="M46" i="8"/>
  <c r="M43" i="8"/>
  <c r="M42" i="8"/>
  <c r="L42" i="8"/>
  <c r="M41" i="8"/>
  <c r="L41" i="8"/>
  <c r="M40" i="8"/>
  <c r="L40" i="8"/>
  <c r="M39" i="8"/>
  <c r="L39" i="8"/>
  <c r="M38" i="8"/>
  <c r="L38" i="8"/>
  <c r="M35" i="8"/>
  <c r="L35" i="8"/>
  <c r="M34" i="8"/>
  <c r="L34" i="8"/>
  <c r="M33" i="8"/>
  <c r="L33" i="8"/>
  <c r="M32" i="8"/>
  <c r="L32" i="8"/>
  <c r="M30" i="8"/>
  <c r="L30" i="8"/>
  <c r="M29" i="8"/>
  <c r="L29" i="8"/>
  <c r="M28" i="8"/>
  <c r="L28" i="8"/>
  <c r="M27" i="8"/>
  <c r="M26" i="8"/>
  <c r="L26" i="8"/>
  <c r="M25" i="8"/>
  <c r="L25" i="8"/>
  <c r="L19" i="8"/>
  <c r="M19" i="8"/>
  <c r="M20" i="8"/>
  <c r="L21" i="8"/>
  <c r="M21" i="8"/>
  <c r="M22" i="8"/>
  <c r="L8" i="8"/>
  <c r="M8" i="8"/>
  <c r="L9" i="8"/>
  <c r="M9" i="8"/>
  <c r="L10" i="8"/>
  <c r="M10" i="8"/>
  <c r="L11" i="8"/>
  <c r="M11" i="8"/>
  <c r="M12" i="8"/>
  <c r="H57" i="8"/>
  <c r="E57" i="8"/>
  <c r="H11" i="8"/>
  <c r="B11" i="8"/>
  <c r="A11" i="8"/>
  <c r="K99" i="8" l="1"/>
  <c r="K11" i="8"/>
  <c r="K57" i="8"/>
  <c r="F51" i="5"/>
  <c r="D48" i="5"/>
  <c r="D47" i="5"/>
  <c r="D46" i="5"/>
  <c r="D45" i="5"/>
  <c r="D32" i="5"/>
  <c r="D15" i="5"/>
  <c r="D8" i="5"/>
  <c r="D9" i="5"/>
  <c r="D10" i="5"/>
  <c r="D7" i="5"/>
  <c r="H150" i="8" l="1"/>
  <c r="E150" i="8"/>
  <c r="B150" i="8"/>
  <c r="A150" i="8"/>
  <c r="J135" i="8"/>
  <c r="J93" i="8"/>
  <c r="H104" i="8"/>
  <c r="E104" i="8"/>
  <c r="B104" i="8"/>
  <c r="A104" i="8"/>
  <c r="H34" i="8"/>
  <c r="E34" i="8"/>
  <c r="B34" i="8"/>
  <c r="A34" i="8"/>
  <c r="H33" i="8"/>
  <c r="E33" i="8"/>
  <c r="B33" i="8"/>
  <c r="A33" i="8"/>
  <c r="F14" i="4"/>
  <c r="G14" i="4"/>
  <c r="H14" i="4"/>
  <c r="F15" i="4"/>
  <c r="G15" i="4"/>
  <c r="H15" i="4"/>
  <c r="F16" i="4"/>
  <c r="G16" i="4"/>
  <c r="H16" i="4"/>
  <c r="F17" i="4"/>
  <c r="G17" i="4"/>
  <c r="H17" i="4"/>
  <c r="F20" i="4"/>
  <c r="G20" i="4"/>
  <c r="H20" i="4"/>
  <c r="G21" i="4"/>
  <c r="H28" i="4"/>
  <c r="F29" i="4"/>
  <c r="G29" i="4"/>
  <c r="H29" i="4"/>
  <c r="E31" i="4"/>
  <c r="F31" i="4"/>
  <c r="G31" i="4"/>
  <c r="H31" i="4"/>
  <c r="E28" i="6"/>
  <c r="K34" i="8" l="1"/>
  <c r="K104" i="8"/>
  <c r="K150" i="8"/>
  <c r="K33" i="8"/>
  <c r="H113" i="6"/>
  <c r="H114" i="6" s="1"/>
  <c r="F32" i="4" s="1"/>
  <c r="E113" i="6"/>
  <c r="I114" i="6"/>
  <c r="G32" i="4" s="1"/>
  <c r="J114" i="6"/>
  <c r="H32" i="4" s="1"/>
  <c r="M80" i="6"/>
  <c r="L80" i="6"/>
  <c r="E80" i="6"/>
  <c r="M87" i="6"/>
  <c r="L87" i="6"/>
  <c r="E87" i="6"/>
  <c r="M46" i="6"/>
  <c r="L46" i="6"/>
  <c r="E46" i="6"/>
  <c r="F55" i="5"/>
  <c r="C30" i="2"/>
  <c r="C35" i="2"/>
  <c r="C34" i="2"/>
  <c r="C36" i="2" s="1"/>
  <c r="C47" i="2"/>
  <c r="F56" i="1"/>
  <c r="F40" i="1"/>
  <c r="C19" i="2" l="1"/>
  <c r="E55" i="5"/>
  <c r="K80" i="6"/>
  <c r="K87" i="6"/>
  <c r="K46" i="6"/>
  <c r="G54" i="5"/>
  <c r="G55" i="5" s="1"/>
  <c r="D70" i="1" l="1"/>
  <c r="D29" i="1"/>
  <c r="H81" i="6" l="1"/>
  <c r="I7" i="2" l="1"/>
  <c r="K185" i="8" l="1"/>
  <c r="E185" i="8"/>
  <c r="B185" i="8"/>
  <c r="A185" i="8"/>
  <c r="H173" i="8"/>
  <c r="E173" i="8"/>
  <c r="B173" i="8"/>
  <c r="A173" i="8"/>
  <c r="E29" i="6"/>
  <c r="K173" i="8" l="1"/>
  <c r="H83" i="6"/>
  <c r="F25" i="4" s="1"/>
  <c r="I83" i="6"/>
  <c r="G25" i="4" s="1"/>
  <c r="J83" i="6"/>
  <c r="H25" i="4" s="1"/>
  <c r="F27" i="5"/>
  <c r="E28" i="5"/>
  <c r="E39" i="8" l="1"/>
  <c r="E40" i="8"/>
  <c r="E41" i="8"/>
  <c r="E42" i="8"/>
  <c r="E43" i="8"/>
  <c r="M140" i="8"/>
  <c r="L140" i="8"/>
  <c r="M137" i="8"/>
  <c r="L137" i="8"/>
  <c r="K137" i="8" l="1"/>
  <c r="K127" i="8"/>
  <c r="K140" i="8"/>
  <c r="K131" i="8"/>
  <c r="K125" i="8"/>
  <c r="K132" i="8"/>
  <c r="K123" i="8"/>
  <c r="K129" i="8"/>
  <c r="K122" i="8"/>
  <c r="K164" i="8"/>
  <c r="K130" i="8"/>
  <c r="K128" i="8"/>
  <c r="K133" i="8"/>
  <c r="K126" i="8"/>
  <c r="K124" i="8"/>
  <c r="J13" i="8"/>
  <c r="J15" i="8" s="1"/>
  <c r="J87" i="8"/>
  <c r="H58" i="8"/>
  <c r="E58" i="8"/>
  <c r="E90" i="6"/>
  <c r="E75" i="6"/>
  <c r="H19" i="4"/>
  <c r="G19" i="4"/>
  <c r="E19" i="4"/>
  <c r="D19" i="4"/>
  <c r="M37" i="6"/>
  <c r="M39" i="6" s="1"/>
  <c r="L37" i="6"/>
  <c r="L39" i="6" s="1"/>
  <c r="H37" i="6"/>
  <c r="E37" i="6"/>
  <c r="H39" i="6" l="1"/>
  <c r="F19" i="4" s="1"/>
  <c r="E39" i="6"/>
  <c r="C19" i="4" s="1"/>
  <c r="K37" i="6"/>
  <c r="K39" i="6" s="1"/>
  <c r="K58" i="8"/>
  <c r="L177" i="8"/>
  <c r="K165" i="8"/>
  <c r="L72" i="8"/>
  <c r="L17" i="8"/>
  <c r="H199" i="8"/>
  <c r="H127" i="8"/>
  <c r="H126" i="8"/>
  <c r="H85" i="8"/>
  <c r="H75" i="8"/>
  <c r="H80" i="8"/>
  <c r="H59" i="8"/>
  <c r="H28" i="8"/>
  <c r="H27" i="8"/>
  <c r="H20" i="8"/>
  <c r="E194" i="8"/>
  <c r="E165" i="8"/>
  <c r="E19" i="8"/>
  <c r="B165" i="8"/>
  <c r="A165" i="8"/>
  <c r="F87" i="8"/>
  <c r="H100" i="8" l="1"/>
  <c r="A100" i="8"/>
  <c r="B100" i="8"/>
  <c r="K21" i="8"/>
  <c r="H21" i="8"/>
  <c r="E21" i="8"/>
  <c r="B21" i="8"/>
  <c r="A21" i="8"/>
  <c r="E26" i="5" l="1"/>
  <c r="H62" i="6" l="1"/>
  <c r="H64" i="6" s="1"/>
  <c r="F22" i="4" s="1"/>
  <c r="E145" i="8"/>
  <c r="E146" i="8"/>
  <c r="E147" i="8"/>
  <c r="E148" i="8"/>
  <c r="E149" i="8"/>
  <c r="E151" i="8"/>
  <c r="E152" i="8"/>
  <c r="E153" i="8"/>
  <c r="E154" i="8"/>
  <c r="E155" i="8"/>
  <c r="E156" i="8"/>
  <c r="E157" i="8"/>
  <c r="E158" i="8"/>
  <c r="E113" i="8"/>
  <c r="E115" i="8"/>
  <c r="E116" i="8"/>
  <c r="E52" i="8"/>
  <c r="E53" i="8"/>
  <c r="E54" i="8"/>
  <c r="E55" i="8"/>
  <c r="E59" i="8"/>
  <c r="E26" i="8"/>
  <c r="E27" i="8"/>
  <c r="E28" i="8"/>
  <c r="E29" i="8"/>
  <c r="E30" i="8"/>
  <c r="E32" i="8"/>
  <c r="E35" i="8"/>
  <c r="E20" i="8"/>
  <c r="E22" i="8"/>
  <c r="H149" i="8"/>
  <c r="H151" i="8"/>
  <c r="H152" i="8"/>
  <c r="H153" i="8"/>
  <c r="H154" i="8"/>
  <c r="H155" i="8"/>
  <c r="H156" i="8"/>
  <c r="H157" i="8"/>
  <c r="H158" i="8"/>
  <c r="H159" i="8"/>
  <c r="H124" i="8"/>
  <c r="H125" i="8"/>
  <c r="H128" i="8"/>
  <c r="H129" i="8"/>
  <c r="H130" i="8"/>
  <c r="H131" i="8"/>
  <c r="H132" i="8"/>
  <c r="H133" i="8"/>
  <c r="H134" i="8"/>
  <c r="H109" i="8"/>
  <c r="H110" i="8"/>
  <c r="H111" i="8"/>
  <c r="H112" i="8"/>
  <c r="H113" i="8"/>
  <c r="H115" i="8"/>
  <c r="H116" i="8"/>
  <c r="H117" i="8"/>
  <c r="H118" i="8"/>
  <c r="H96" i="8"/>
  <c r="H97" i="8"/>
  <c r="H99" i="8"/>
  <c r="H102" i="8"/>
  <c r="H103" i="8"/>
  <c r="H71" i="8"/>
  <c r="H72" i="8"/>
  <c r="H73" i="8"/>
  <c r="H74" i="8"/>
  <c r="H76" i="8"/>
  <c r="H77" i="8"/>
  <c r="H78" i="8"/>
  <c r="H79" i="8"/>
  <c r="H81" i="8"/>
  <c r="H82" i="8"/>
  <c r="H83" i="8"/>
  <c r="H86" i="8"/>
  <c r="H52" i="8"/>
  <c r="H53" i="8"/>
  <c r="H54" i="8"/>
  <c r="H55" i="8"/>
  <c r="H60" i="8"/>
  <c r="H61" i="8"/>
  <c r="H39" i="8"/>
  <c r="H40" i="8"/>
  <c r="H41" i="8"/>
  <c r="H42" i="8"/>
  <c r="H43" i="8"/>
  <c r="H26" i="8"/>
  <c r="H29" i="8"/>
  <c r="H30" i="8"/>
  <c r="H32" i="8"/>
  <c r="H35" i="8"/>
  <c r="H19" i="8"/>
  <c r="H22" i="8"/>
  <c r="H9" i="8"/>
  <c r="H10" i="8"/>
  <c r="H12" i="8"/>
  <c r="L105" i="8"/>
  <c r="M105" i="8"/>
  <c r="L71" i="8"/>
  <c r="M71" i="8"/>
  <c r="M72" i="8"/>
  <c r="K53" i="8"/>
  <c r="L61" i="8"/>
  <c r="M61" i="8"/>
  <c r="K28" i="8"/>
  <c r="K29" i="8"/>
  <c r="K30" i="8"/>
  <c r="A156" i="8"/>
  <c r="B156" i="8"/>
  <c r="I64" i="6"/>
  <c r="J64" i="6"/>
  <c r="H22" i="4" s="1"/>
  <c r="G27" i="5"/>
  <c r="G12" i="5"/>
  <c r="F57" i="1"/>
  <c r="F59" i="1" s="1"/>
  <c r="G11" i="5"/>
  <c r="G22" i="4" l="1"/>
  <c r="K59" i="8"/>
  <c r="K27" i="8"/>
  <c r="K10" i="8"/>
  <c r="K97" i="8"/>
  <c r="K148" i="8"/>
  <c r="K111" i="8"/>
  <c r="K109" i="8"/>
  <c r="K20" i="8"/>
  <c r="K54" i="8"/>
  <c r="K78" i="8"/>
  <c r="K76" i="8"/>
  <c r="K118" i="8"/>
  <c r="K134" i="8"/>
  <c r="K8" i="8"/>
  <c r="K43" i="8"/>
  <c r="K41" i="8"/>
  <c r="K74" i="8"/>
  <c r="K72" i="8"/>
  <c r="K105" i="8"/>
  <c r="K157" i="8"/>
  <c r="K155" i="8"/>
  <c r="K153" i="8"/>
  <c r="K146" i="8"/>
  <c r="K32" i="8"/>
  <c r="K52" i="8"/>
  <c r="K85" i="8"/>
  <c r="K83" i="8"/>
  <c r="K81" i="8"/>
  <c r="K116" i="8"/>
  <c r="K110" i="8"/>
  <c r="K12" i="8"/>
  <c r="K40" i="8"/>
  <c r="K61" i="8"/>
  <c r="K80" i="8"/>
  <c r="K71" i="8"/>
  <c r="K103" i="8"/>
  <c r="K117" i="8"/>
  <c r="K159" i="8"/>
  <c r="K154" i="8"/>
  <c r="K152" i="8"/>
  <c r="K149" i="8"/>
  <c r="K145" i="8"/>
  <c r="K19" i="8"/>
  <c r="K35" i="8"/>
  <c r="K26" i="8"/>
  <c r="K42" i="8"/>
  <c r="K55" i="8"/>
  <c r="K82" i="8"/>
  <c r="K75" i="8"/>
  <c r="K73" i="8"/>
  <c r="K102" i="8"/>
  <c r="K115" i="8"/>
  <c r="K113" i="8"/>
  <c r="K156" i="8"/>
  <c r="K151" i="8"/>
  <c r="K9" i="8"/>
  <c r="K22" i="8"/>
  <c r="K39" i="8"/>
  <c r="K60" i="8"/>
  <c r="K86" i="8"/>
  <c r="K79" i="8"/>
  <c r="K77" i="8"/>
  <c r="K96" i="8"/>
  <c r="K112" i="8"/>
  <c r="K158" i="8"/>
  <c r="K147" i="8"/>
  <c r="B32" i="8"/>
  <c r="A32" i="8"/>
  <c r="B19" i="8"/>
  <c r="A19" i="8"/>
  <c r="F12" i="5" l="1"/>
  <c r="F32" i="5"/>
  <c r="F15" i="5"/>
  <c r="F8" i="5"/>
  <c r="F9" i="5"/>
  <c r="F10" i="5"/>
  <c r="F7" i="5"/>
  <c r="M92" i="8" l="1"/>
  <c r="L92" i="8"/>
  <c r="M91" i="8"/>
  <c r="L91" i="8"/>
  <c r="M90" i="8"/>
  <c r="L90" i="8"/>
  <c r="M89" i="8"/>
  <c r="L89" i="8"/>
  <c r="M70" i="8"/>
  <c r="L70" i="8"/>
  <c r="M17" i="8"/>
  <c r="E124" i="8"/>
  <c r="E46" i="8"/>
  <c r="E47" i="8" s="1"/>
  <c r="C13" i="7" s="1"/>
  <c r="H51" i="8"/>
  <c r="H67" i="8"/>
  <c r="H65" i="8"/>
  <c r="H64" i="8"/>
  <c r="H70" i="8"/>
  <c r="H95" i="8"/>
  <c r="F47" i="8"/>
  <c r="D13" i="7" s="1"/>
  <c r="G47" i="8"/>
  <c r="E13" i="7" s="1"/>
  <c r="I47" i="8"/>
  <c r="J47" i="8"/>
  <c r="B46" i="8"/>
  <c r="B43" i="8"/>
  <c r="B42" i="8"/>
  <c r="B41" i="8"/>
  <c r="B40" i="8"/>
  <c r="B39" i="8"/>
  <c r="M47" i="8"/>
  <c r="K13" i="7" s="1"/>
  <c r="Y42" i="10" s="1"/>
  <c r="L47" i="8"/>
  <c r="J13" i="7" s="1"/>
  <c r="X42" i="10" s="1"/>
  <c r="H46" i="8"/>
  <c r="H47" i="8" s="1"/>
  <c r="E8" i="8"/>
  <c r="E9" i="8"/>
  <c r="B124" i="8"/>
  <c r="A124" i="8"/>
  <c r="O42" i="10" l="1"/>
  <c r="W42" i="10"/>
  <c r="AA42" i="10"/>
  <c r="P42" i="10"/>
  <c r="AB42" i="10"/>
  <c r="K90" i="8"/>
  <c r="K64" i="8"/>
  <c r="K92" i="8"/>
  <c r="K95" i="8"/>
  <c r="K91" i="8"/>
  <c r="K51" i="8"/>
  <c r="K121" i="8"/>
  <c r="K38" i="8"/>
  <c r="K65" i="8"/>
  <c r="K70" i="8"/>
  <c r="K17" i="8"/>
  <c r="K89" i="8"/>
  <c r="K25" i="8"/>
  <c r="K67" i="8"/>
  <c r="K108" i="8"/>
  <c r="K46" i="8"/>
  <c r="K47" i="8" s="1"/>
  <c r="I13" i="7" s="1"/>
  <c r="L13" i="7" s="1"/>
  <c r="H122" i="8"/>
  <c r="E122" i="8"/>
  <c r="B122" i="8"/>
  <c r="A122" i="8"/>
  <c r="I68" i="8"/>
  <c r="J68" i="8"/>
  <c r="H68" i="8"/>
  <c r="N42" i="10" l="1"/>
  <c r="Z42" i="10"/>
  <c r="M27" i="6"/>
  <c r="L27" i="6"/>
  <c r="E27" i="6"/>
  <c r="D51" i="2"/>
  <c r="D19" i="2" s="1"/>
  <c r="C52" i="2"/>
  <c r="D47" i="2"/>
  <c r="K27" i="6" l="1"/>
  <c r="D18" i="1"/>
  <c r="G47" i="5"/>
  <c r="G48" i="5"/>
  <c r="G49" i="5"/>
  <c r="G50" i="5"/>
  <c r="G46" i="5"/>
  <c r="G45" i="5"/>
  <c r="F48" i="5"/>
  <c r="F47" i="5"/>
  <c r="G30" i="5"/>
  <c r="F30" i="5"/>
  <c r="E29" i="5"/>
  <c r="J200" i="8" l="1"/>
  <c r="H29" i="7" s="1"/>
  <c r="I200" i="8"/>
  <c r="G29" i="7" s="1"/>
  <c r="G200" i="8"/>
  <c r="E29" i="7" s="1"/>
  <c r="F200" i="8"/>
  <c r="D29" i="7" s="1"/>
  <c r="M199" i="8"/>
  <c r="M200" i="8" s="1"/>
  <c r="K29" i="7" s="1"/>
  <c r="Y34" i="10" s="1"/>
  <c r="L199" i="8"/>
  <c r="L200" i="8" s="1"/>
  <c r="J29" i="7" s="1"/>
  <c r="X34" i="10" s="1"/>
  <c r="H200" i="8"/>
  <c r="F29" i="7" s="1"/>
  <c r="E199" i="8"/>
  <c r="E200" i="8" s="1"/>
  <c r="C29" i="7" s="1"/>
  <c r="B199" i="8"/>
  <c r="A199" i="8"/>
  <c r="J197" i="8"/>
  <c r="H28" i="7" s="1"/>
  <c r="I197" i="8"/>
  <c r="G28" i="7" s="1"/>
  <c r="G197" i="8"/>
  <c r="E28" i="7" s="1"/>
  <c r="F197" i="8"/>
  <c r="D28" i="7" s="1"/>
  <c r="M196" i="8"/>
  <c r="L196" i="8"/>
  <c r="E196" i="8"/>
  <c r="B196" i="8"/>
  <c r="A196" i="8"/>
  <c r="M195" i="8"/>
  <c r="L195" i="8"/>
  <c r="B195" i="8"/>
  <c r="A195" i="8"/>
  <c r="B194" i="8"/>
  <c r="A194" i="8"/>
  <c r="M193" i="8"/>
  <c r="L193" i="8"/>
  <c r="H193" i="8"/>
  <c r="H197" i="8" s="1"/>
  <c r="F28" i="7" s="1"/>
  <c r="E193" i="8"/>
  <c r="B193" i="8"/>
  <c r="A193" i="8"/>
  <c r="J191" i="8"/>
  <c r="H27" i="7" s="1"/>
  <c r="I191" i="8"/>
  <c r="G27" i="7" s="1"/>
  <c r="G191" i="8"/>
  <c r="E27" i="7" s="1"/>
  <c r="F191" i="8"/>
  <c r="D27" i="7" s="1"/>
  <c r="M190" i="8"/>
  <c r="L190" i="8"/>
  <c r="H190" i="8"/>
  <c r="E190" i="8"/>
  <c r="B190" i="8"/>
  <c r="A190" i="8"/>
  <c r="M189" i="8"/>
  <c r="L189" i="8"/>
  <c r="H189" i="8"/>
  <c r="E189" i="8"/>
  <c r="B189" i="8"/>
  <c r="A189" i="8"/>
  <c r="J187" i="8"/>
  <c r="H26" i="7" s="1"/>
  <c r="I187" i="8"/>
  <c r="G26" i="7" s="1"/>
  <c r="G187" i="8"/>
  <c r="E26" i="7" s="1"/>
  <c r="F187" i="8"/>
  <c r="M186" i="8"/>
  <c r="L186" i="8"/>
  <c r="H186" i="8"/>
  <c r="H187" i="8" s="1"/>
  <c r="F26" i="7" s="1"/>
  <c r="E186" i="8"/>
  <c r="B186" i="8"/>
  <c r="A186" i="8"/>
  <c r="E183" i="8"/>
  <c r="B183" i="8"/>
  <c r="A183" i="8"/>
  <c r="J179" i="8"/>
  <c r="H25" i="7" s="1"/>
  <c r="I179" i="8"/>
  <c r="G25" i="7" s="1"/>
  <c r="G179" i="8"/>
  <c r="E25" i="7" s="1"/>
  <c r="F179" i="8"/>
  <c r="D25" i="7" s="1"/>
  <c r="H178" i="8"/>
  <c r="E178" i="8"/>
  <c r="B178" i="8"/>
  <c r="A178" i="8"/>
  <c r="M177" i="8"/>
  <c r="H177" i="8"/>
  <c r="E177" i="8"/>
  <c r="B177" i="8"/>
  <c r="A177" i="8"/>
  <c r="M176" i="8"/>
  <c r="L176" i="8"/>
  <c r="H176" i="8"/>
  <c r="E176" i="8"/>
  <c r="B176" i="8"/>
  <c r="A176" i="8"/>
  <c r="J174" i="8"/>
  <c r="I174" i="8"/>
  <c r="G24" i="7" s="1"/>
  <c r="G174" i="8"/>
  <c r="F174" i="8"/>
  <c r="D24" i="7" s="1"/>
  <c r="H171" i="8"/>
  <c r="E171" i="8"/>
  <c r="B171" i="8"/>
  <c r="A171" i="8"/>
  <c r="J169" i="8"/>
  <c r="H23" i="7" s="1"/>
  <c r="I169" i="8"/>
  <c r="G23" i="7" s="1"/>
  <c r="G169" i="8"/>
  <c r="E23" i="7" s="1"/>
  <c r="F169" i="8"/>
  <c r="H168" i="8"/>
  <c r="E168" i="8"/>
  <c r="B168" i="8"/>
  <c r="A168" i="8"/>
  <c r="H167" i="8"/>
  <c r="E167" i="8"/>
  <c r="B167" i="8"/>
  <c r="A167" i="8"/>
  <c r="K166" i="8"/>
  <c r="H166" i="8"/>
  <c r="E166" i="8"/>
  <c r="B166" i="8"/>
  <c r="A166" i="8"/>
  <c r="H164" i="8"/>
  <c r="E164" i="8"/>
  <c r="B164" i="8"/>
  <c r="A164" i="8"/>
  <c r="J160" i="8"/>
  <c r="J162" i="8" s="1"/>
  <c r="I160" i="8"/>
  <c r="G160" i="8"/>
  <c r="F160" i="8"/>
  <c r="E159" i="8"/>
  <c r="B159" i="8"/>
  <c r="A159" i="8"/>
  <c r="B158" i="8"/>
  <c r="A158" i="8"/>
  <c r="B157" i="8"/>
  <c r="A157" i="8"/>
  <c r="B155" i="8"/>
  <c r="A155" i="8"/>
  <c r="B154" i="8"/>
  <c r="A154" i="8"/>
  <c r="B153" i="8"/>
  <c r="A153" i="8"/>
  <c r="B152" i="8"/>
  <c r="A152" i="8"/>
  <c r="B151" i="8"/>
  <c r="A151" i="8"/>
  <c r="B149" i="8"/>
  <c r="A149" i="8"/>
  <c r="H148" i="8"/>
  <c r="B148" i="8"/>
  <c r="A148" i="8"/>
  <c r="B147" i="8"/>
  <c r="A147" i="8"/>
  <c r="H146" i="8"/>
  <c r="B146" i="8"/>
  <c r="A146" i="8"/>
  <c r="B145" i="8"/>
  <c r="A145" i="8"/>
  <c r="J141" i="8"/>
  <c r="H21" i="7" s="1"/>
  <c r="I141" i="8"/>
  <c r="G21" i="7" s="1"/>
  <c r="G141" i="8"/>
  <c r="E21" i="7" s="1"/>
  <c r="F141" i="8"/>
  <c r="D21" i="7" s="1"/>
  <c r="M141" i="8"/>
  <c r="K21" i="7" s="1"/>
  <c r="Y37" i="10" s="1"/>
  <c r="L141" i="8"/>
  <c r="J21" i="7" s="1"/>
  <c r="X37" i="10" s="1"/>
  <c r="H140" i="8"/>
  <c r="H141" i="8" s="1"/>
  <c r="F21" i="7" s="1"/>
  <c r="E140" i="8"/>
  <c r="E141" i="8" s="1"/>
  <c r="C21" i="7" s="1"/>
  <c r="B140" i="8"/>
  <c r="A140" i="8"/>
  <c r="J138" i="8"/>
  <c r="I138" i="8"/>
  <c r="G138" i="8"/>
  <c r="F138" i="8"/>
  <c r="L138" i="8"/>
  <c r="H137" i="8"/>
  <c r="H138" i="8" s="1"/>
  <c r="E137" i="8"/>
  <c r="E138" i="8" s="1"/>
  <c r="B137" i="8"/>
  <c r="A137" i="8"/>
  <c r="I135" i="8"/>
  <c r="G135" i="8"/>
  <c r="F135" i="8"/>
  <c r="D19" i="7" s="1"/>
  <c r="E134" i="8"/>
  <c r="B134" i="8"/>
  <c r="A134" i="8"/>
  <c r="E133" i="8"/>
  <c r="B133" i="8"/>
  <c r="A133" i="8"/>
  <c r="E132" i="8"/>
  <c r="B132" i="8"/>
  <c r="A132" i="8"/>
  <c r="E131" i="8"/>
  <c r="B131" i="8"/>
  <c r="A131" i="8"/>
  <c r="E130" i="8"/>
  <c r="B130" i="8"/>
  <c r="A130" i="8"/>
  <c r="E129" i="8"/>
  <c r="B129" i="8"/>
  <c r="A129" i="8"/>
  <c r="E128" i="8"/>
  <c r="B128" i="8"/>
  <c r="A128" i="8"/>
  <c r="E127" i="8"/>
  <c r="B127" i="8"/>
  <c r="A127" i="8"/>
  <c r="E126" i="8"/>
  <c r="B126" i="8"/>
  <c r="A126" i="8"/>
  <c r="E125" i="8"/>
  <c r="B125" i="8"/>
  <c r="A125" i="8"/>
  <c r="H123" i="8"/>
  <c r="E123" i="8"/>
  <c r="B123" i="8"/>
  <c r="A123" i="8"/>
  <c r="H121" i="8"/>
  <c r="E121" i="8"/>
  <c r="B121" i="8"/>
  <c r="A121" i="8"/>
  <c r="J119" i="8"/>
  <c r="H18" i="7" s="1"/>
  <c r="I119" i="8"/>
  <c r="G18" i="7" s="1"/>
  <c r="G119" i="8"/>
  <c r="E18" i="7" s="1"/>
  <c r="F119" i="8"/>
  <c r="D18" i="7" s="1"/>
  <c r="E118" i="8"/>
  <c r="B118" i="8"/>
  <c r="A118" i="8"/>
  <c r="E117" i="8"/>
  <c r="B117" i="8"/>
  <c r="A117" i="8"/>
  <c r="B116" i="8"/>
  <c r="A116" i="8"/>
  <c r="B115" i="8"/>
  <c r="A115" i="8"/>
  <c r="B113" i="8"/>
  <c r="A113" i="8"/>
  <c r="E112" i="8"/>
  <c r="B112" i="8"/>
  <c r="A112" i="8"/>
  <c r="E111" i="8"/>
  <c r="B111" i="8"/>
  <c r="A111" i="8"/>
  <c r="E110" i="8"/>
  <c r="B110" i="8"/>
  <c r="A110" i="8"/>
  <c r="E109" i="8"/>
  <c r="B109" i="8"/>
  <c r="A109" i="8"/>
  <c r="H108" i="8"/>
  <c r="E108" i="8"/>
  <c r="B108" i="8"/>
  <c r="A108" i="8"/>
  <c r="J106" i="8"/>
  <c r="H17" i="7" s="1"/>
  <c r="I106" i="8"/>
  <c r="G106" i="8"/>
  <c r="E17" i="7" s="1"/>
  <c r="F106" i="8"/>
  <c r="D17" i="7" s="1"/>
  <c r="H105" i="8"/>
  <c r="E105" i="8"/>
  <c r="B105" i="8"/>
  <c r="A105" i="8"/>
  <c r="E103" i="8"/>
  <c r="B103" i="8"/>
  <c r="A103" i="8"/>
  <c r="B102" i="8"/>
  <c r="A102" i="8"/>
  <c r="B99" i="8"/>
  <c r="A99" i="8"/>
  <c r="E97" i="8"/>
  <c r="B97" i="8"/>
  <c r="A97" i="8"/>
  <c r="E96" i="8"/>
  <c r="B96" i="8"/>
  <c r="A96" i="8"/>
  <c r="E95" i="8"/>
  <c r="B95" i="8"/>
  <c r="A95" i="8"/>
  <c r="H16" i="7"/>
  <c r="I93" i="8"/>
  <c r="G16" i="7" s="1"/>
  <c r="G93" i="8"/>
  <c r="E16" i="7" s="1"/>
  <c r="F93" i="8"/>
  <c r="D16" i="7" s="1"/>
  <c r="H92" i="8"/>
  <c r="E92" i="8"/>
  <c r="B92" i="8"/>
  <c r="A92" i="8"/>
  <c r="H91" i="8"/>
  <c r="E91" i="8"/>
  <c r="B91" i="8"/>
  <c r="A91" i="8"/>
  <c r="H90" i="8"/>
  <c r="E90" i="8"/>
  <c r="B90" i="8"/>
  <c r="A90" i="8"/>
  <c r="H89" i="8"/>
  <c r="E89" i="8"/>
  <c r="H15" i="7"/>
  <c r="I87" i="8"/>
  <c r="G15" i="7" s="1"/>
  <c r="G87" i="8"/>
  <c r="E15" i="7" s="1"/>
  <c r="D15" i="7"/>
  <c r="E86" i="8"/>
  <c r="B86" i="8"/>
  <c r="A86" i="8"/>
  <c r="E85" i="8"/>
  <c r="B85" i="8"/>
  <c r="A85" i="8"/>
  <c r="E83" i="8"/>
  <c r="B83" i="8"/>
  <c r="A83" i="8"/>
  <c r="E82" i="8"/>
  <c r="B82" i="8"/>
  <c r="A82" i="8"/>
  <c r="E81" i="8"/>
  <c r="B81" i="8"/>
  <c r="A81" i="8"/>
  <c r="E80" i="8"/>
  <c r="B80" i="8"/>
  <c r="A80" i="8"/>
  <c r="E79" i="8"/>
  <c r="B79" i="8"/>
  <c r="A79" i="8"/>
  <c r="E78" i="8"/>
  <c r="B78" i="8"/>
  <c r="A78" i="8"/>
  <c r="E77" i="8"/>
  <c r="B77" i="8"/>
  <c r="A77" i="8"/>
  <c r="E76" i="8"/>
  <c r="B76" i="8"/>
  <c r="A76" i="8"/>
  <c r="E75" i="8"/>
  <c r="B75" i="8"/>
  <c r="A75" i="8"/>
  <c r="E74" i="8"/>
  <c r="B74" i="8"/>
  <c r="A74" i="8"/>
  <c r="E73" i="8"/>
  <c r="B73" i="8"/>
  <c r="A73" i="8"/>
  <c r="E72" i="8"/>
  <c r="B72" i="8"/>
  <c r="A72" i="8"/>
  <c r="E71" i="8"/>
  <c r="B71" i="8"/>
  <c r="A71" i="8"/>
  <c r="E70" i="8"/>
  <c r="B70" i="8"/>
  <c r="A70" i="8"/>
  <c r="G68" i="8"/>
  <c r="F68" i="8"/>
  <c r="E67" i="8"/>
  <c r="A67" i="8"/>
  <c r="E65" i="8"/>
  <c r="A65" i="8"/>
  <c r="E64" i="8"/>
  <c r="A64" i="8"/>
  <c r="J62" i="8"/>
  <c r="I62" i="8"/>
  <c r="G14" i="7" s="1"/>
  <c r="G62" i="8"/>
  <c r="F62" i="8"/>
  <c r="E61" i="8"/>
  <c r="B61" i="8"/>
  <c r="A61" i="8"/>
  <c r="E60" i="8"/>
  <c r="B52" i="8"/>
  <c r="A52" i="8"/>
  <c r="E51" i="8"/>
  <c r="J44" i="8"/>
  <c r="H12" i="7" s="1"/>
  <c r="I44" i="8"/>
  <c r="G12" i="7" s="1"/>
  <c r="G44" i="8"/>
  <c r="F44" i="8"/>
  <c r="D12" i="7" s="1"/>
  <c r="A42" i="8"/>
  <c r="A39" i="8"/>
  <c r="H38" i="8"/>
  <c r="E38" i="8"/>
  <c r="B38" i="8"/>
  <c r="A38" i="8"/>
  <c r="J36" i="8"/>
  <c r="I36" i="8"/>
  <c r="G11" i="7" s="1"/>
  <c r="G36" i="8"/>
  <c r="E11" i="7" s="1"/>
  <c r="F36" i="8"/>
  <c r="D11" i="7" s="1"/>
  <c r="B30" i="8"/>
  <c r="A30" i="8"/>
  <c r="B29" i="8"/>
  <c r="A29" i="8"/>
  <c r="B28" i="8"/>
  <c r="A28" i="8"/>
  <c r="H25" i="8"/>
  <c r="E25" i="8"/>
  <c r="B25" i="8"/>
  <c r="A25" i="8"/>
  <c r="J23" i="8"/>
  <c r="I23" i="8"/>
  <c r="G23" i="8"/>
  <c r="F23" i="8"/>
  <c r="B22" i="8"/>
  <c r="A22" i="8"/>
  <c r="B20" i="8"/>
  <c r="A20" i="8"/>
  <c r="H17" i="8"/>
  <c r="E17" i="8"/>
  <c r="B17" i="8"/>
  <c r="A17" i="8"/>
  <c r="H9" i="7"/>
  <c r="I13" i="8"/>
  <c r="G13" i="8"/>
  <c r="F13" i="8"/>
  <c r="F15" i="8" s="1"/>
  <c r="E12" i="8"/>
  <c r="B12" i="8"/>
  <c r="A12" i="8"/>
  <c r="E10" i="8"/>
  <c r="B10" i="8"/>
  <c r="A10" i="8"/>
  <c r="B9" i="8"/>
  <c r="A9" i="8"/>
  <c r="H8" i="8"/>
  <c r="B8" i="8"/>
  <c r="A8" i="8"/>
  <c r="M7" i="8"/>
  <c r="H7" i="8"/>
  <c r="E7" i="8"/>
  <c r="B7" i="8"/>
  <c r="A7" i="8"/>
  <c r="M30" i="7"/>
  <c r="H20" i="7"/>
  <c r="G20" i="7"/>
  <c r="E20" i="7"/>
  <c r="D20" i="7"/>
  <c r="G114" i="6"/>
  <c r="E32" i="4" s="1"/>
  <c r="F114" i="6"/>
  <c r="D32" i="4" s="1"/>
  <c r="M113" i="6"/>
  <c r="M114" i="6" s="1"/>
  <c r="L113" i="6"/>
  <c r="L114" i="6" s="1"/>
  <c r="E114" i="6"/>
  <c r="C32" i="4" s="1"/>
  <c r="F111" i="6"/>
  <c r="D31" i="4" s="1"/>
  <c r="M110" i="6"/>
  <c r="L110" i="6"/>
  <c r="E110" i="6"/>
  <c r="E111" i="6" s="1"/>
  <c r="C31" i="4" s="1"/>
  <c r="J108" i="6"/>
  <c r="I108" i="6"/>
  <c r="G108" i="6"/>
  <c r="E30" i="4" s="1"/>
  <c r="F108" i="6"/>
  <c r="M107" i="6"/>
  <c r="M108" i="6" s="1"/>
  <c r="L107" i="6"/>
  <c r="L108" i="6" s="1"/>
  <c r="H107" i="6"/>
  <c r="E107" i="6"/>
  <c r="E108" i="6" s="1"/>
  <c r="J105" i="6"/>
  <c r="G103" i="6"/>
  <c r="E29" i="4" s="1"/>
  <c r="F103" i="6"/>
  <c r="D29" i="4" s="1"/>
  <c r="M102" i="6"/>
  <c r="M103" i="6" s="1"/>
  <c r="L102" i="6"/>
  <c r="L103" i="6" s="1"/>
  <c r="E102" i="6"/>
  <c r="E103" i="6" s="1"/>
  <c r="C29" i="4" s="1"/>
  <c r="I100" i="6"/>
  <c r="G100" i="6"/>
  <c r="E28" i="4" s="1"/>
  <c r="F100" i="6"/>
  <c r="M99" i="6"/>
  <c r="M100" i="6" s="1"/>
  <c r="L99" i="6"/>
  <c r="L100" i="6" s="1"/>
  <c r="H99" i="6"/>
  <c r="E99" i="6"/>
  <c r="E100" i="6" s="1"/>
  <c r="J92" i="6"/>
  <c r="H26" i="4" s="1"/>
  <c r="I92" i="6"/>
  <c r="G26" i="4" s="1"/>
  <c r="G92" i="6"/>
  <c r="F92" i="6"/>
  <c r="D26" i="4" s="1"/>
  <c r="M91" i="6"/>
  <c r="L91" i="6"/>
  <c r="E91" i="6"/>
  <c r="M89" i="6"/>
  <c r="L89" i="6"/>
  <c r="E89" i="6"/>
  <c r="M88" i="6"/>
  <c r="L88" i="6"/>
  <c r="E88" i="6"/>
  <c r="H92" i="6"/>
  <c r="F26" i="4" s="1"/>
  <c r="G83" i="6"/>
  <c r="E25" i="4" s="1"/>
  <c r="F83" i="6"/>
  <c r="D25" i="4" s="1"/>
  <c r="M82" i="6"/>
  <c r="L82" i="6"/>
  <c r="E82" i="6"/>
  <c r="M81" i="6"/>
  <c r="L81" i="6"/>
  <c r="E81" i="6"/>
  <c r="J78" i="6"/>
  <c r="H24" i="4" s="1"/>
  <c r="I78" i="6"/>
  <c r="G24" i="4" s="1"/>
  <c r="G78" i="6"/>
  <c r="E24" i="4" s="1"/>
  <c r="F78" i="6"/>
  <c r="D24" i="4" s="1"/>
  <c r="M77" i="6"/>
  <c r="L77" i="6"/>
  <c r="E77" i="6"/>
  <c r="M76" i="6"/>
  <c r="L76" i="6"/>
  <c r="H76" i="6"/>
  <c r="E76" i="6"/>
  <c r="M74" i="6"/>
  <c r="L74" i="6"/>
  <c r="E74" i="6"/>
  <c r="M73" i="6"/>
  <c r="L73" i="6"/>
  <c r="E73" i="6"/>
  <c r="M72" i="6"/>
  <c r="L72" i="6"/>
  <c r="E72" i="6"/>
  <c r="M71" i="6"/>
  <c r="L71" i="6"/>
  <c r="H71" i="6"/>
  <c r="E71" i="6"/>
  <c r="M70" i="6"/>
  <c r="L70" i="6"/>
  <c r="H70" i="6"/>
  <c r="E70" i="6"/>
  <c r="J68" i="6"/>
  <c r="H23" i="4" s="1"/>
  <c r="I68" i="6"/>
  <c r="H68" i="6"/>
  <c r="F23" i="4" s="1"/>
  <c r="G68" i="6"/>
  <c r="E23" i="4" s="1"/>
  <c r="F68" i="6"/>
  <c r="D23" i="4" s="1"/>
  <c r="M67" i="6"/>
  <c r="L67" i="6"/>
  <c r="E67" i="6"/>
  <c r="M66" i="6"/>
  <c r="L66" i="6"/>
  <c r="E66" i="6"/>
  <c r="G64" i="6"/>
  <c r="E22" i="4" s="1"/>
  <c r="F64" i="6"/>
  <c r="D22" i="4" s="1"/>
  <c r="M63" i="6"/>
  <c r="L63" i="6"/>
  <c r="E63" i="6"/>
  <c r="M62" i="6"/>
  <c r="L62" i="6"/>
  <c r="E62" i="6"/>
  <c r="J60" i="6"/>
  <c r="G60" i="6"/>
  <c r="E21" i="4" s="1"/>
  <c r="F60" i="6"/>
  <c r="D21" i="4" s="1"/>
  <c r="M59" i="6"/>
  <c r="L59" i="6"/>
  <c r="E59" i="6"/>
  <c r="M58" i="6"/>
  <c r="L58" i="6"/>
  <c r="E58" i="6"/>
  <c r="M57" i="6"/>
  <c r="L57" i="6"/>
  <c r="E57" i="6"/>
  <c r="M56" i="6"/>
  <c r="L56" i="6"/>
  <c r="E56" i="6"/>
  <c r="M55" i="6"/>
  <c r="L55" i="6"/>
  <c r="H55" i="6"/>
  <c r="E55" i="6"/>
  <c r="M54" i="6"/>
  <c r="L54" i="6"/>
  <c r="E54" i="6"/>
  <c r="M53" i="6"/>
  <c r="L53" i="6"/>
  <c r="E53" i="6"/>
  <c r="M52" i="6"/>
  <c r="L52" i="6"/>
  <c r="E52" i="6"/>
  <c r="M51" i="6"/>
  <c r="L51" i="6"/>
  <c r="E51" i="6"/>
  <c r="M50" i="6"/>
  <c r="L50" i="6"/>
  <c r="E50" i="6"/>
  <c r="G48" i="6"/>
  <c r="F48" i="6"/>
  <c r="M47" i="6"/>
  <c r="L47" i="6"/>
  <c r="E47" i="6"/>
  <c r="M44" i="6"/>
  <c r="L44" i="6"/>
  <c r="E44" i="6"/>
  <c r="M43" i="6"/>
  <c r="L43" i="6"/>
  <c r="E43" i="6"/>
  <c r="E18" i="4"/>
  <c r="D18" i="4"/>
  <c r="M34" i="6"/>
  <c r="M35" i="6" s="1"/>
  <c r="L34" i="6"/>
  <c r="H34" i="6"/>
  <c r="E34" i="6"/>
  <c r="M32" i="6"/>
  <c r="G31" i="6"/>
  <c r="E17" i="4" s="1"/>
  <c r="F31" i="6"/>
  <c r="D17" i="4" s="1"/>
  <c r="M30" i="6"/>
  <c r="L30" i="6"/>
  <c r="E30" i="6"/>
  <c r="M26" i="6"/>
  <c r="L26" i="6"/>
  <c r="E26" i="6"/>
  <c r="G24" i="6"/>
  <c r="E16" i="4" s="1"/>
  <c r="F24" i="6"/>
  <c r="D16" i="4" s="1"/>
  <c r="M23" i="6"/>
  <c r="L23" i="6"/>
  <c r="E23" i="6"/>
  <c r="M22" i="6"/>
  <c r="L22" i="6"/>
  <c r="E22" i="6"/>
  <c r="M21" i="6"/>
  <c r="L21" i="6"/>
  <c r="E21" i="6"/>
  <c r="M20" i="6"/>
  <c r="L20" i="6"/>
  <c r="E20" i="6"/>
  <c r="G16" i="6"/>
  <c r="E15" i="4" s="1"/>
  <c r="F16" i="6"/>
  <c r="M15" i="6"/>
  <c r="L15" i="6"/>
  <c r="E15" i="6"/>
  <c r="M14" i="6"/>
  <c r="L14" i="6"/>
  <c r="E14" i="6"/>
  <c r="M13" i="6"/>
  <c r="L13" i="6"/>
  <c r="E13" i="6"/>
  <c r="M12" i="6"/>
  <c r="L12" i="6"/>
  <c r="E12" i="6"/>
  <c r="M11" i="6"/>
  <c r="L11" i="6"/>
  <c r="E11" i="6"/>
  <c r="G9" i="6"/>
  <c r="E14" i="4" s="1"/>
  <c r="F9" i="6"/>
  <c r="D14" i="4" s="1"/>
  <c r="M8" i="6"/>
  <c r="M9" i="6" s="1"/>
  <c r="L8" i="6"/>
  <c r="E8" i="6"/>
  <c r="E9" i="6" s="1"/>
  <c r="C14" i="4" s="1"/>
  <c r="E46" i="5"/>
  <c r="F33" i="5"/>
  <c r="E33" i="5" s="1"/>
  <c r="E32" i="5"/>
  <c r="E25" i="5"/>
  <c r="E23" i="5"/>
  <c r="E22" i="5"/>
  <c r="E21" i="5"/>
  <c r="E20" i="5"/>
  <c r="E24" i="5"/>
  <c r="E19" i="5"/>
  <c r="E18" i="5"/>
  <c r="E10" i="5"/>
  <c r="E9" i="5"/>
  <c r="E8" i="5"/>
  <c r="D76" i="1"/>
  <c r="D67" i="1"/>
  <c r="D43" i="1"/>
  <c r="C18" i="2"/>
  <c r="D53" i="2"/>
  <c r="D48" i="2"/>
  <c r="C48" i="2"/>
  <c r="C31" i="2"/>
  <c r="D20" i="2"/>
  <c r="D14" i="2"/>
  <c r="D15" i="2" s="1"/>
  <c r="C14" i="2"/>
  <c r="F74" i="1"/>
  <c r="F82" i="1" s="1"/>
  <c r="E74" i="1"/>
  <c r="E82" i="1" s="1"/>
  <c r="D71" i="1"/>
  <c r="D73" i="1"/>
  <c r="F64" i="1"/>
  <c r="E64" i="1"/>
  <c r="D61" i="1"/>
  <c r="F60" i="1"/>
  <c r="D58" i="1"/>
  <c r="D57" i="1"/>
  <c r="D53" i="1"/>
  <c r="D52" i="1"/>
  <c r="D51" i="1"/>
  <c r="D50" i="1"/>
  <c r="D49" i="1"/>
  <c r="D48" i="1"/>
  <c r="D47" i="1"/>
  <c r="D46" i="1"/>
  <c r="D35" i="1"/>
  <c r="D34" i="1"/>
  <c r="D33" i="1"/>
  <c r="F30" i="1"/>
  <c r="E30" i="1"/>
  <c r="D28" i="1"/>
  <c r="F27" i="1"/>
  <c r="E27" i="1"/>
  <c r="D26" i="1"/>
  <c r="D25" i="1"/>
  <c r="D24" i="1"/>
  <c r="D23" i="1"/>
  <c r="D22" i="1"/>
  <c r="D21" i="1"/>
  <c r="F20" i="1"/>
  <c r="D19" i="1"/>
  <c r="D17" i="1"/>
  <c r="D16" i="1"/>
  <c r="D15" i="1"/>
  <c r="D14" i="1"/>
  <c r="D13" i="1"/>
  <c r="E12" i="1"/>
  <c r="E20" i="1" s="1"/>
  <c r="D11" i="1"/>
  <c r="D10" i="1"/>
  <c r="D9" i="1"/>
  <c r="D8" i="1"/>
  <c r="D7" i="1"/>
  <c r="D6" i="1"/>
  <c r="E105" i="6" l="1"/>
  <c r="D28" i="4"/>
  <c r="F105" i="6"/>
  <c r="D30" i="4"/>
  <c r="F116" i="6"/>
  <c r="I85" i="6"/>
  <c r="H35" i="6"/>
  <c r="F18" i="4" s="1"/>
  <c r="E35" i="6"/>
  <c r="C18" i="4" s="1"/>
  <c r="O37" i="10"/>
  <c r="W37" i="10"/>
  <c r="AA37" i="10"/>
  <c r="P37" i="10"/>
  <c r="AB37" i="10"/>
  <c r="O34" i="10"/>
  <c r="W34" i="10"/>
  <c r="AA34" i="10"/>
  <c r="P34" i="10"/>
  <c r="AB34" i="10"/>
  <c r="J85" i="6"/>
  <c r="G85" i="6"/>
  <c r="F85" i="6"/>
  <c r="I105" i="6"/>
  <c r="H105" i="6" s="1"/>
  <c r="G28" i="4"/>
  <c r="E20" i="4"/>
  <c r="G23" i="4"/>
  <c r="J116" i="6"/>
  <c r="H30" i="4"/>
  <c r="D20" i="4"/>
  <c r="I116" i="6"/>
  <c r="G30" i="4"/>
  <c r="I41" i="6"/>
  <c r="G18" i="4"/>
  <c r="F18" i="6"/>
  <c r="D15" i="4"/>
  <c r="J41" i="6"/>
  <c r="H18" i="4"/>
  <c r="H60" i="6"/>
  <c r="F21" i="4" s="1"/>
  <c r="H21" i="4"/>
  <c r="G94" i="6"/>
  <c r="E26" i="4"/>
  <c r="K88" i="6"/>
  <c r="K72" i="6"/>
  <c r="K26" i="6"/>
  <c r="I94" i="6"/>
  <c r="J94" i="6"/>
  <c r="G41" i="6"/>
  <c r="M31" i="6"/>
  <c r="D54" i="2"/>
  <c r="G143" i="8"/>
  <c r="F143" i="8"/>
  <c r="F41" i="6"/>
  <c r="K81" i="6"/>
  <c r="K70" i="6"/>
  <c r="K23" i="6"/>
  <c r="E31" i="6"/>
  <c r="C17" i="4" s="1"/>
  <c r="K47" i="6"/>
  <c r="H108" i="6"/>
  <c r="I49" i="8"/>
  <c r="D30" i="1"/>
  <c r="L68" i="6"/>
  <c r="K67" i="6"/>
  <c r="M116" i="6"/>
  <c r="K53" i="6"/>
  <c r="M68" i="6"/>
  <c r="M83" i="6"/>
  <c r="K20" i="6"/>
  <c r="K43" i="6"/>
  <c r="K51" i="6"/>
  <c r="K82" i="6"/>
  <c r="K91" i="6"/>
  <c r="L105" i="6"/>
  <c r="G116" i="6"/>
  <c r="K107" i="6"/>
  <c r="K108" i="6" s="1"/>
  <c r="C28" i="4"/>
  <c r="K50" i="6"/>
  <c r="K54" i="6"/>
  <c r="K59" i="6"/>
  <c r="K63" i="6"/>
  <c r="K76" i="6"/>
  <c r="K113" i="6"/>
  <c r="K114" i="6" s="1"/>
  <c r="D12" i="1"/>
  <c r="D20" i="1" s="1"/>
  <c r="D74" i="1"/>
  <c r="D82" i="1" s="1"/>
  <c r="H10" i="7"/>
  <c r="J49" i="8"/>
  <c r="D10" i="7"/>
  <c r="F49" i="8"/>
  <c r="K190" i="8"/>
  <c r="G49" i="8"/>
  <c r="E12" i="7"/>
  <c r="M187" i="8"/>
  <c r="K26" i="7" s="1"/>
  <c r="Y22" i="10" s="1"/>
  <c r="K194" i="8"/>
  <c r="F20" i="7"/>
  <c r="D22" i="7"/>
  <c r="F162" i="8"/>
  <c r="E22" i="7"/>
  <c r="G162" i="8"/>
  <c r="H22" i="7"/>
  <c r="G22" i="7"/>
  <c r="I162" i="8"/>
  <c r="K167" i="8"/>
  <c r="K186" i="8"/>
  <c r="K168" i="8"/>
  <c r="K178" i="8"/>
  <c r="M197" i="8"/>
  <c r="K28" i="7" s="1"/>
  <c r="Y31" i="10" s="1"/>
  <c r="H191" i="8"/>
  <c r="H202" i="8" s="1"/>
  <c r="E197" i="8"/>
  <c r="E13" i="8"/>
  <c r="C9" i="7" s="1"/>
  <c r="K189" i="8"/>
  <c r="H14" i="7"/>
  <c r="J143" i="8"/>
  <c r="K102" i="6"/>
  <c r="K103" i="6" s="1"/>
  <c r="K99" i="6"/>
  <c r="K100" i="6" s="1"/>
  <c r="K89" i="6"/>
  <c r="M92" i="6"/>
  <c r="M94" i="6" s="1"/>
  <c r="L48" i="6"/>
  <c r="K58" i="6"/>
  <c r="K57" i="6"/>
  <c r="L64" i="6"/>
  <c r="L83" i="6"/>
  <c r="E92" i="6"/>
  <c r="C26" i="4" s="1"/>
  <c r="K22" i="6"/>
  <c r="K52" i="6"/>
  <c r="K56" i="6"/>
  <c r="E68" i="6"/>
  <c r="C23" i="4" s="1"/>
  <c r="K74" i="6"/>
  <c r="K77" i="6"/>
  <c r="L92" i="6"/>
  <c r="L94" i="6" s="1"/>
  <c r="E83" i="6"/>
  <c r="C25" i="4" s="1"/>
  <c r="K71" i="6"/>
  <c r="M60" i="6"/>
  <c r="K44" i="6"/>
  <c r="K13" i="6"/>
  <c r="F65" i="1"/>
  <c r="F80" i="1" s="1"/>
  <c r="F31" i="1"/>
  <c r="F41" i="1" s="1"/>
  <c r="F79" i="1" s="1"/>
  <c r="C20" i="7"/>
  <c r="G19" i="7"/>
  <c r="I143" i="8"/>
  <c r="D9" i="7"/>
  <c r="L191" i="8"/>
  <c r="J27" i="7" s="1"/>
  <c r="X39" i="10" s="1"/>
  <c r="I181" i="8"/>
  <c r="E119" i="8"/>
  <c r="C18" i="7" s="1"/>
  <c r="K183" i="8"/>
  <c r="M62" i="8"/>
  <c r="M68" i="8"/>
  <c r="D14" i="7"/>
  <c r="H93" i="8"/>
  <c r="F16" i="7" s="1"/>
  <c r="K141" i="8"/>
  <c r="I21" i="7" s="1"/>
  <c r="L21" i="7" s="1"/>
  <c r="K176" i="8"/>
  <c r="K199" i="8"/>
  <c r="K200" i="8" s="1"/>
  <c r="I29" i="7" s="1"/>
  <c r="L29" i="7" s="1"/>
  <c r="M160" i="8"/>
  <c r="H174" i="8"/>
  <c r="F24" i="7" s="1"/>
  <c r="K7" i="8"/>
  <c r="G10" i="7"/>
  <c r="E116" i="6"/>
  <c r="C30" i="4"/>
  <c r="F94" i="6"/>
  <c r="K66" i="6"/>
  <c r="E64" i="6"/>
  <c r="C22" i="4" s="1"/>
  <c r="K55" i="6"/>
  <c r="L60" i="6"/>
  <c r="L31" i="6"/>
  <c r="K30" i="6"/>
  <c r="K15" i="6"/>
  <c r="E60" i="6"/>
  <c r="C21" i="4" s="1"/>
  <c r="K14" i="6"/>
  <c r="E24" i="6"/>
  <c r="E48" i="6"/>
  <c r="E16" i="6"/>
  <c r="E18" i="6" s="1"/>
  <c r="H100" i="6"/>
  <c r="F28" i="4" s="1"/>
  <c r="H78" i="6"/>
  <c r="F24" i="4" s="1"/>
  <c r="C20" i="2"/>
  <c r="D27" i="1"/>
  <c r="E31" i="1"/>
  <c r="I15" i="8"/>
  <c r="G9" i="7"/>
  <c r="M138" i="8"/>
  <c r="K20" i="7"/>
  <c r="Y38" i="10" s="1"/>
  <c r="L174" i="8"/>
  <c r="J24" i="7" s="1"/>
  <c r="X30" i="10" s="1"/>
  <c r="G17" i="7"/>
  <c r="H13" i="8"/>
  <c r="E87" i="8"/>
  <c r="C15" i="7" s="1"/>
  <c r="H106" i="8"/>
  <c r="F17" i="7" s="1"/>
  <c r="G181" i="8"/>
  <c r="E24" i="7"/>
  <c r="I202" i="8"/>
  <c r="G15" i="8"/>
  <c r="E9" i="7"/>
  <c r="K177" i="8"/>
  <c r="L197" i="8"/>
  <c r="J28" i="7" s="1"/>
  <c r="X31" i="10" s="1"/>
  <c r="K196" i="8"/>
  <c r="E23" i="8"/>
  <c r="L23" i="8"/>
  <c r="E36" i="8"/>
  <c r="C11" i="7" s="1"/>
  <c r="H44" i="8"/>
  <c r="F12" i="7" s="1"/>
  <c r="E14" i="7"/>
  <c r="E68" i="8"/>
  <c r="E106" i="8"/>
  <c r="C17" i="7" s="1"/>
  <c r="H135" i="8"/>
  <c r="E169" i="8"/>
  <c r="C23" i="7" s="1"/>
  <c r="H23" i="8"/>
  <c r="H36" i="8"/>
  <c r="F11" i="7" s="1"/>
  <c r="H169" i="8"/>
  <c r="F23" i="7" s="1"/>
  <c r="M169" i="8"/>
  <c r="K23" i="7" s="1"/>
  <c r="Y41" i="10" s="1"/>
  <c r="E174" i="8"/>
  <c r="C24" i="7" s="1"/>
  <c r="M179" i="8"/>
  <c r="K25" i="7" s="1"/>
  <c r="Y36" i="10" s="1"/>
  <c r="H179" i="8"/>
  <c r="F25" i="7" s="1"/>
  <c r="L187" i="8"/>
  <c r="J26" i="7" s="1"/>
  <c r="X22" i="10" s="1"/>
  <c r="E191" i="8"/>
  <c r="C27" i="7" s="1"/>
  <c r="M191" i="8"/>
  <c r="K27" i="7" s="1"/>
  <c r="Y39" i="10" s="1"/>
  <c r="E47" i="5"/>
  <c r="E12" i="5"/>
  <c r="E48" i="5"/>
  <c r="E11" i="5"/>
  <c r="G13" i="5"/>
  <c r="G35" i="5" s="1"/>
  <c r="E5" i="4" s="1"/>
  <c r="E30" i="5"/>
  <c r="E27" i="5"/>
  <c r="K8" i="6"/>
  <c r="K9" i="6" s="1"/>
  <c r="L9" i="6"/>
  <c r="M105" i="6"/>
  <c r="L111" i="6"/>
  <c r="L116" i="6" s="1"/>
  <c r="K110" i="6"/>
  <c r="K111" i="6" s="1"/>
  <c r="M36" i="8"/>
  <c r="K11" i="7" s="1"/>
  <c r="Y20" i="10" s="1"/>
  <c r="L106" i="8"/>
  <c r="J17" i="7" s="1"/>
  <c r="X32" i="10" s="1"/>
  <c r="L135" i="8"/>
  <c r="E19" i="7"/>
  <c r="E15" i="5"/>
  <c r="F16" i="5"/>
  <c r="E16" i="5" s="1"/>
  <c r="G18" i="6"/>
  <c r="L35" i="6"/>
  <c r="K34" i="6"/>
  <c r="K35" i="6" s="1"/>
  <c r="M87" i="8"/>
  <c r="K15" i="7" s="1"/>
  <c r="Y23" i="10" s="1"/>
  <c r="E7" i="5"/>
  <c r="F13" i="5"/>
  <c r="K11" i="6"/>
  <c r="L16" i="6"/>
  <c r="M64" i="6"/>
  <c r="K62" i="6"/>
  <c r="E62" i="8"/>
  <c r="M119" i="8"/>
  <c r="K18" i="7" s="1"/>
  <c r="Y21" i="10" s="1"/>
  <c r="F202" i="8"/>
  <c r="D26" i="7"/>
  <c r="G52" i="5"/>
  <c r="G57" i="5" s="1"/>
  <c r="H11" i="7"/>
  <c r="L13" i="8"/>
  <c r="M23" i="8"/>
  <c r="E10" i="7"/>
  <c r="M44" i="8"/>
  <c r="M106" i="8"/>
  <c r="K17" i="7" s="1"/>
  <c r="Y32" i="10" s="1"/>
  <c r="L169" i="8"/>
  <c r="M16" i="6"/>
  <c r="G105" i="6"/>
  <c r="L36" i="8"/>
  <c r="J11" i="7" s="1"/>
  <c r="X20" i="10" s="1"/>
  <c r="E44" i="8"/>
  <c r="C12" i="7" s="1"/>
  <c r="L93" i="8"/>
  <c r="J16" i="7" s="1"/>
  <c r="X24" i="10" s="1"/>
  <c r="H119" i="8"/>
  <c r="F18" i="7" s="1"/>
  <c r="L179" i="8"/>
  <c r="J25" i="7" s="1"/>
  <c r="X36" i="10" s="1"/>
  <c r="M24" i="6"/>
  <c r="L24" i="6"/>
  <c r="M48" i="6"/>
  <c r="E78" i="6"/>
  <c r="C24" i="4" s="1"/>
  <c r="M78" i="6"/>
  <c r="H62" i="8"/>
  <c r="F14" i="7" s="1"/>
  <c r="M93" i="8"/>
  <c r="K16" i="7" s="1"/>
  <c r="Y24" i="10" s="1"/>
  <c r="J20" i="7"/>
  <c r="X38" i="10" s="1"/>
  <c r="L160" i="8"/>
  <c r="E160" i="8"/>
  <c r="J181" i="8"/>
  <c r="E187" i="8"/>
  <c r="K12" i="6"/>
  <c r="K21" i="6"/>
  <c r="K73" i="6"/>
  <c r="L78" i="6"/>
  <c r="H24" i="7"/>
  <c r="M13" i="8"/>
  <c r="L44" i="8"/>
  <c r="H87" i="8"/>
  <c r="F15" i="7" s="1"/>
  <c r="H19" i="7"/>
  <c r="F181" i="8"/>
  <c r="D23" i="7"/>
  <c r="M174" i="8"/>
  <c r="K24" i="7" s="1"/>
  <c r="Y30" i="10" s="1"/>
  <c r="K171" i="8"/>
  <c r="E179" i="8"/>
  <c r="C25" i="7" s="1"/>
  <c r="K193" i="8"/>
  <c r="G202" i="8"/>
  <c r="L62" i="8"/>
  <c r="L68" i="8"/>
  <c r="L87" i="8"/>
  <c r="J15" i="7" s="1"/>
  <c r="X23" i="10" s="1"/>
  <c r="E93" i="8"/>
  <c r="C16" i="7" s="1"/>
  <c r="L119" i="8"/>
  <c r="J18" i="7" s="1"/>
  <c r="X21" i="10" s="1"/>
  <c r="E135" i="8"/>
  <c r="M135" i="8"/>
  <c r="H160" i="8"/>
  <c r="J202" i="8"/>
  <c r="D21" i="2"/>
  <c r="C37" i="2"/>
  <c r="C53" i="2"/>
  <c r="C54" i="2" s="1"/>
  <c r="C13" i="2"/>
  <c r="C15" i="2" s="1"/>
  <c r="E65" i="1"/>
  <c r="E80" i="1" s="1"/>
  <c r="D59" i="1"/>
  <c r="D63" i="1"/>
  <c r="D64" i="1" s="1"/>
  <c r="H41" i="6" l="1"/>
  <c r="C28" i="7"/>
  <c r="W31" i="10"/>
  <c r="P31" i="10"/>
  <c r="AB30" i="10"/>
  <c r="P24" i="10"/>
  <c r="AB24" i="10"/>
  <c r="P21" i="10"/>
  <c r="AB22" i="10"/>
  <c r="P22" i="10"/>
  <c r="AB21" i="10"/>
  <c r="P23" i="10"/>
  <c r="AB23" i="10"/>
  <c r="O21" i="10"/>
  <c r="W22" i="10"/>
  <c r="AA22" i="10"/>
  <c r="P41" i="10"/>
  <c r="AB41" i="10"/>
  <c r="N34" i="10"/>
  <c r="Z34" i="10"/>
  <c r="P20" i="10"/>
  <c r="AB20" i="10"/>
  <c r="O31" i="10"/>
  <c r="W30" i="10"/>
  <c r="AA30" i="10"/>
  <c r="O39" i="10"/>
  <c r="W39" i="10"/>
  <c r="AA39" i="10"/>
  <c r="P29" i="10"/>
  <c r="AB31" i="10"/>
  <c r="N37" i="10"/>
  <c r="Z37" i="10"/>
  <c r="O22" i="10"/>
  <c r="W21" i="10"/>
  <c r="AA21" i="10"/>
  <c r="O38" i="10"/>
  <c r="W38" i="10"/>
  <c r="AA38" i="10"/>
  <c r="O36" i="10"/>
  <c r="W36" i="10"/>
  <c r="AA36" i="10"/>
  <c r="P32" i="10"/>
  <c r="AB32" i="10"/>
  <c r="P39" i="10"/>
  <c r="AB39" i="10"/>
  <c r="P36" i="10"/>
  <c r="AB36" i="10"/>
  <c r="O29" i="10"/>
  <c r="AA31" i="10"/>
  <c r="P38" i="10"/>
  <c r="AB38" i="10"/>
  <c r="O32" i="10"/>
  <c r="W32" i="10"/>
  <c r="AA32" i="10"/>
  <c r="O24" i="10"/>
  <c r="W24" i="10"/>
  <c r="AA24" i="10"/>
  <c r="O23" i="10"/>
  <c r="W23" i="10"/>
  <c r="AA23" i="10"/>
  <c r="O20" i="10"/>
  <c r="W20" i="10"/>
  <c r="AA20" i="10"/>
  <c r="E85" i="6"/>
  <c r="K31" i="6"/>
  <c r="H85" i="6"/>
  <c r="H116" i="6"/>
  <c r="F30" i="4"/>
  <c r="F33" i="4" s="1"/>
  <c r="C20" i="4"/>
  <c r="K68" i="6"/>
  <c r="H94" i="6"/>
  <c r="E8" i="4"/>
  <c r="J118" i="6"/>
  <c r="E7" i="4" s="1"/>
  <c r="H33" i="4"/>
  <c r="D33" i="4"/>
  <c r="D6" i="4" s="1"/>
  <c r="E143" i="8"/>
  <c r="F9" i="7"/>
  <c r="H15" i="8"/>
  <c r="C16" i="4"/>
  <c r="E41" i="6"/>
  <c r="K83" i="6"/>
  <c r="G33" i="4"/>
  <c r="D7" i="4" s="1"/>
  <c r="K48" i="6"/>
  <c r="K24" i="6"/>
  <c r="K105" i="6"/>
  <c r="I118" i="6"/>
  <c r="K64" i="6"/>
  <c r="K78" i="6"/>
  <c r="F81" i="1"/>
  <c r="D31" i="1"/>
  <c r="E15" i="8"/>
  <c r="K191" i="8"/>
  <c r="I27" i="7" s="1"/>
  <c r="L27" i="7" s="1"/>
  <c r="K10" i="7"/>
  <c r="Y35" i="10" s="1"/>
  <c r="M49" i="8"/>
  <c r="J10" i="7"/>
  <c r="X35" i="10" s="1"/>
  <c r="L49" i="8"/>
  <c r="C10" i="7"/>
  <c r="E49" i="8"/>
  <c r="F10" i="7"/>
  <c r="H49" i="8"/>
  <c r="K174" i="8"/>
  <c r="I24" i="7" s="1"/>
  <c r="L24" i="7" s="1"/>
  <c r="F22" i="7"/>
  <c r="H162" i="8"/>
  <c r="C22" i="7"/>
  <c r="E162" i="8"/>
  <c r="F27" i="7"/>
  <c r="J22" i="7"/>
  <c r="X28" i="10" s="1"/>
  <c r="L162" i="8"/>
  <c r="K22" i="7"/>
  <c r="Y28" i="10" s="1"/>
  <c r="M162" i="8"/>
  <c r="K187" i="8"/>
  <c r="I26" i="7" s="1"/>
  <c r="L26" i="7" s="1"/>
  <c r="K169" i="8"/>
  <c r="I23" i="7" s="1"/>
  <c r="L23" i="7" s="1"/>
  <c r="K179" i="8"/>
  <c r="I25" i="7" s="1"/>
  <c r="L25" i="7" s="1"/>
  <c r="K92" i="6"/>
  <c r="K94" i="6" s="1"/>
  <c r="E94" i="6"/>
  <c r="K60" i="6"/>
  <c r="G118" i="6"/>
  <c r="E6" i="4" s="1"/>
  <c r="D60" i="1"/>
  <c r="D65" i="1" s="1"/>
  <c r="D80" i="1" s="1"/>
  <c r="K68" i="8"/>
  <c r="F19" i="7"/>
  <c r="H143" i="8"/>
  <c r="K36" i="8"/>
  <c r="I11" i="7" s="1"/>
  <c r="L11" i="7" s="1"/>
  <c r="K14" i="7"/>
  <c r="Y27" i="10" s="1"/>
  <c r="K93" i="8"/>
  <c r="I16" i="7" s="1"/>
  <c r="L16" i="7" s="1"/>
  <c r="K87" i="8"/>
  <c r="I15" i="7" s="1"/>
  <c r="L15" i="7" s="1"/>
  <c r="H181" i="8"/>
  <c r="J14" i="7"/>
  <c r="X27" i="10" s="1"/>
  <c r="I204" i="8"/>
  <c r="L202" i="8"/>
  <c r="K15" i="8"/>
  <c r="K197" i="8"/>
  <c r="I28" i="7" s="1"/>
  <c r="L28" i="7" s="1"/>
  <c r="M202" i="8"/>
  <c r="K44" i="8"/>
  <c r="K23" i="8"/>
  <c r="G30" i="7"/>
  <c r="C15" i="4"/>
  <c r="C21" i="2"/>
  <c r="K62" i="8"/>
  <c r="K106" i="8"/>
  <c r="I17" i="7" s="1"/>
  <c r="L17" i="7" s="1"/>
  <c r="C14" i="7"/>
  <c r="E30" i="7"/>
  <c r="D30" i="7"/>
  <c r="E33" i="4"/>
  <c r="K19" i="7"/>
  <c r="Y25" i="10" s="1"/>
  <c r="M143" i="8"/>
  <c r="L41" i="6"/>
  <c r="K12" i="7"/>
  <c r="Y26" i="10" s="1"/>
  <c r="M85" i="6"/>
  <c r="L143" i="8"/>
  <c r="J19" i="7"/>
  <c r="X25" i="10" s="1"/>
  <c r="C19" i="7"/>
  <c r="M15" i="8"/>
  <c r="K9" i="7"/>
  <c r="Y40" i="10" s="1"/>
  <c r="E202" i="8"/>
  <c r="C26" i="7"/>
  <c r="K160" i="8"/>
  <c r="K162" i="8" s="1"/>
  <c r="K138" i="8"/>
  <c r="I20" i="7"/>
  <c r="L20" i="7" s="1"/>
  <c r="M41" i="6"/>
  <c r="M18" i="6"/>
  <c r="J9" i="7"/>
  <c r="X40" i="10" s="1"/>
  <c r="L15" i="8"/>
  <c r="L18" i="6"/>
  <c r="H30" i="7"/>
  <c r="F204" i="8"/>
  <c r="K16" i="6"/>
  <c r="L85" i="6"/>
  <c r="J204" i="8"/>
  <c r="K135" i="8"/>
  <c r="G204" i="8"/>
  <c r="J12" i="7"/>
  <c r="X26" i="10" s="1"/>
  <c r="F118" i="6"/>
  <c r="L181" i="8"/>
  <c r="J23" i="7"/>
  <c r="X41" i="10" s="1"/>
  <c r="K119" i="8"/>
  <c r="I18" i="7" s="1"/>
  <c r="L18" i="7" s="1"/>
  <c r="F35" i="5"/>
  <c r="D5" i="4" s="1"/>
  <c r="E13" i="5"/>
  <c r="E35" i="5" s="1"/>
  <c r="C5" i="4" s="1"/>
  <c r="N5" i="4" s="1"/>
  <c r="M181" i="8"/>
  <c r="E181" i="8"/>
  <c r="K116" i="6"/>
  <c r="N29" i="10" l="1"/>
  <c r="N5" i="10" s="1"/>
  <c r="Z31" i="10"/>
  <c r="F30" i="7"/>
  <c r="K41" i="6"/>
  <c r="X43" i="10"/>
  <c r="Y43" i="10"/>
  <c r="P40" i="10"/>
  <c r="AB40" i="10"/>
  <c r="P28" i="10"/>
  <c r="AB28" i="10"/>
  <c r="P35" i="10"/>
  <c r="AB35" i="10"/>
  <c r="N22" i="10"/>
  <c r="Z21" i="10"/>
  <c r="N21" i="10"/>
  <c r="Q21" i="10" s="1"/>
  <c r="Z22" i="10"/>
  <c r="P25" i="10"/>
  <c r="AB25" i="10"/>
  <c r="N38" i="10"/>
  <c r="Z38" i="10"/>
  <c r="P26" i="10"/>
  <c r="AB27" i="10"/>
  <c r="O28" i="10"/>
  <c r="W28" i="10"/>
  <c r="AA28" i="10"/>
  <c r="N36" i="10"/>
  <c r="Z36" i="10"/>
  <c r="N31" i="10"/>
  <c r="Z30" i="10"/>
  <c r="P27" i="10"/>
  <c r="AB26" i="10"/>
  <c r="O41" i="10"/>
  <c r="W41" i="10"/>
  <c r="AA41" i="10"/>
  <c r="O25" i="10"/>
  <c r="W25" i="10"/>
  <c r="AA25" i="10"/>
  <c r="N39" i="10"/>
  <c r="Z39" i="10"/>
  <c r="N32" i="10"/>
  <c r="Z32" i="10"/>
  <c r="N24" i="10"/>
  <c r="Z24" i="10"/>
  <c r="N23" i="10"/>
  <c r="Z23" i="10"/>
  <c r="O26" i="10"/>
  <c r="W27" i="10"/>
  <c r="AA27" i="10"/>
  <c r="O27" i="10"/>
  <c r="W26" i="10"/>
  <c r="AA26" i="10"/>
  <c r="N20" i="10"/>
  <c r="Z20" i="10"/>
  <c r="O35" i="10"/>
  <c r="W35" i="10"/>
  <c r="AA35" i="10"/>
  <c r="O40" i="10"/>
  <c r="W40" i="10"/>
  <c r="AA40" i="10"/>
  <c r="H118" i="6"/>
  <c r="C7" i="4" s="1"/>
  <c r="N7" i="4" s="1"/>
  <c r="C33" i="4"/>
  <c r="E9" i="4"/>
  <c r="E118" i="6"/>
  <c r="C6" i="4" s="1"/>
  <c r="N6" i="4" s="1"/>
  <c r="K85" i="6"/>
  <c r="I10" i="7"/>
  <c r="L10" i="7" s="1"/>
  <c r="K49" i="8"/>
  <c r="K181" i="8"/>
  <c r="I14" i="7"/>
  <c r="L14" i="7" s="1"/>
  <c r="I9" i="7"/>
  <c r="K202" i="8"/>
  <c r="I12" i="7"/>
  <c r="L12" i="7" s="1"/>
  <c r="H204" i="8"/>
  <c r="L204" i="8"/>
  <c r="C30" i="7"/>
  <c r="M118" i="6"/>
  <c r="L118" i="6"/>
  <c r="M204" i="8"/>
  <c r="K30" i="7"/>
  <c r="K143" i="8"/>
  <c r="I19" i="7"/>
  <c r="L19" i="7" s="1"/>
  <c r="K18" i="6"/>
  <c r="I22" i="7"/>
  <c r="L22" i="7" s="1"/>
  <c r="J30" i="7"/>
  <c r="E204" i="8"/>
  <c r="P43" i="10" l="1"/>
  <c r="P30" i="10" s="1"/>
  <c r="P33" i="10" s="1"/>
  <c r="O43" i="10"/>
  <c r="N41" i="10"/>
  <c r="Z41" i="10"/>
  <c r="Q22" i="10"/>
  <c r="N12" i="10"/>
  <c r="N25" i="10"/>
  <c r="Z25" i="10"/>
  <c r="N3" i="10"/>
  <c r="Q31" i="10"/>
  <c r="N28" i="10"/>
  <c r="Z28" i="10"/>
  <c r="Q32" i="10"/>
  <c r="N2" i="10"/>
  <c r="Q24" i="10"/>
  <c r="N10" i="10"/>
  <c r="Q23" i="10"/>
  <c r="N11" i="10"/>
  <c r="N26" i="10"/>
  <c r="Z27" i="10"/>
  <c r="N27" i="10"/>
  <c r="Z26" i="10"/>
  <c r="N14" i="10"/>
  <c r="Q20" i="10"/>
  <c r="S20" i="10" s="1"/>
  <c r="N35" i="10"/>
  <c r="Z35" i="10"/>
  <c r="N40" i="10"/>
  <c r="W43" i="10"/>
  <c r="Z40" i="10"/>
  <c r="O30" i="10"/>
  <c r="O33" i="10" s="1"/>
  <c r="L9" i="7"/>
  <c r="L30" i="7" s="1"/>
  <c r="I30" i="7"/>
  <c r="K118" i="6"/>
  <c r="K204" i="8"/>
  <c r="N13" i="10"/>
  <c r="D32" i="1"/>
  <c r="D40" i="1" s="1"/>
  <c r="D41" i="1" s="1"/>
  <c r="D79" i="1" s="1"/>
  <c r="D81" i="1" s="1"/>
  <c r="E40" i="1"/>
  <c r="E41" i="1" s="1"/>
  <c r="E79" i="1" s="1"/>
  <c r="E81" i="1" s="1"/>
  <c r="F45" i="5"/>
  <c r="F52" i="5" s="1"/>
  <c r="F57" i="5" s="1"/>
  <c r="N43" i="10" l="1"/>
  <c r="N30" i="10" s="1"/>
  <c r="N4" i="10" s="1"/>
  <c r="Q28" i="10"/>
  <c r="N6" i="10"/>
  <c r="N9" i="10"/>
  <c r="Q25" i="10"/>
  <c r="Q26" i="10"/>
  <c r="N8" i="10"/>
  <c r="N7" i="10"/>
  <c r="Q27" i="10"/>
  <c r="D8" i="4"/>
  <c r="D9" i="4" s="1"/>
  <c r="E45" i="5"/>
  <c r="E52" i="5" s="1"/>
  <c r="E57" i="5" s="1"/>
  <c r="Q29" i="10"/>
  <c r="Q30" i="10" l="1"/>
  <c r="N33" i="10"/>
  <c r="Q33" i="10" s="1"/>
  <c r="N15" i="10"/>
  <c r="C8" i="4"/>
  <c r="N8" i="4" s="1"/>
  <c r="N9" i="4" s="1"/>
  <c r="C9" i="4" l="1"/>
</calcChain>
</file>

<file path=xl/sharedStrings.xml><?xml version="1.0" encoding="utf-8"?>
<sst xmlns="http://schemas.openxmlformats.org/spreadsheetml/2006/main" count="754" uniqueCount="466">
  <si>
    <t>BILANCE ZDROJŮ A VÝDAJŮ STATUTÁRNÍHO MĚSTA BRNA (TIS. KČ)</t>
  </si>
  <si>
    <t>položka</t>
  </si>
  <si>
    <t>č.ř.</t>
  </si>
  <si>
    <t>podseskupení</t>
  </si>
  <si>
    <t>PŘÍJMY</t>
  </si>
  <si>
    <t>třída</t>
  </si>
  <si>
    <t>město</t>
  </si>
  <si>
    <t>městské části</t>
  </si>
  <si>
    <t>Daňové výnosy (ř.1 až ř.6)</t>
  </si>
  <si>
    <t>Daň z příjmů právnických osob za obce - rozpočtová činnost</t>
  </si>
  <si>
    <t>133x</t>
  </si>
  <si>
    <t>134x</t>
  </si>
  <si>
    <t>135x</t>
  </si>
  <si>
    <t>tř. 1</t>
  </si>
  <si>
    <t>211x</t>
  </si>
  <si>
    <t>212x</t>
  </si>
  <si>
    <t>213x</t>
  </si>
  <si>
    <t>214x</t>
  </si>
  <si>
    <t>221x</t>
  </si>
  <si>
    <t xml:space="preserve">Přijaté sankční platby </t>
  </si>
  <si>
    <t>tř. 2 mimo výše uved.</t>
  </si>
  <si>
    <t>Jiné nedaňové příjmy</t>
  </si>
  <si>
    <t xml:space="preserve">tř. 2 </t>
  </si>
  <si>
    <t>311x</t>
  </si>
  <si>
    <t xml:space="preserve">Příjmy z prodeje dlouhodobého majetku </t>
  </si>
  <si>
    <t>312x</t>
  </si>
  <si>
    <t>Ostatní kapitálové příjmy</t>
  </si>
  <si>
    <t>tř. 3</t>
  </si>
  <si>
    <t>Ostatní neinvestiční přijaté transfery ze státního rozpočtu</t>
  </si>
  <si>
    <t xml:space="preserve"> *)</t>
  </si>
  <si>
    <t>tř. 4</t>
  </si>
  <si>
    <t>tř. 1 až tř. 4</t>
  </si>
  <si>
    <t>VÝDAJE</t>
  </si>
  <si>
    <t>502x</t>
  </si>
  <si>
    <t>514x</t>
  </si>
  <si>
    <t>Úroky a ostatní finanční výdaje</t>
  </si>
  <si>
    <t>516x</t>
  </si>
  <si>
    <t>Opravy a udržování</t>
  </si>
  <si>
    <t>522x</t>
  </si>
  <si>
    <t>Neinvestiční příspěvky zřízeným příspěvkovým organizacím</t>
  </si>
  <si>
    <t>tř. 5 mimo výše uved.</t>
  </si>
  <si>
    <t>Ostatní běžné výdaje</t>
  </si>
  <si>
    <t>tř. 5</t>
  </si>
  <si>
    <t>Investiční transfery zřízeným příspěvkovým organizacím</t>
  </si>
  <si>
    <t>tř. 6 mimo výše uved.</t>
  </si>
  <si>
    <t xml:space="preserve">Ostatní kapitálové výdaje </t>
  </si>
  <si>
    <t>tř. 6</t>
  </si>
  <si>
    <t>tř. 5 + tř. 6</t>
  </si>
  <si>
    <t>FINANCOVÁNÍ</t>
  </si>
  <si>
    <t>Uhrazené splátky dlouhodobých přijatých půjček a úvěrů</t>
  </si>
  <si>
    <t>Uhrazené splátky dlouhodobých přijatých úvěrů - EIB</t>
  </si>
  <si>
    <t>tř. 8</t>
  </si>
  <si>
    <t>PŘEHLED HOSPODAŘENÍ</t>
  </si>
  <si>
    <t>tř.1 až tř. 4</t>
  </si>
  <si>
    <t>Příjmy celkem</t>
  </si>
  <si>
    <t>tř.5 + tř. 6</t>
  </si>
  <si>
    <t>Výdaje celkem</t>
  </si>
  <si>
    <t>Saldo příjmů a výdajů (ř.1 mínus ř.2)</t>
  </si>
  <si>
    <t>Financování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</si>
  <si>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</si>
  <si>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</si>
  <si>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</si>
  <si>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</si>
  <si>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</si>
  <si>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</si>
  <si>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</si>
  <si>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Přijaté splátky zápůjček</t>
  </si>
  <si>
    <t>Splátky zápůjček</t>
  </si>
  <si>
    <t>Saldo příjmů a výdajů (výsledek konsolidace celkem)</t>
  </si>
  <si>
    <t xml:space="preserve">*) konsolidace na úrovni statutárního města Brna </t>
  </si>
  <si>
    <t xml:space="preserve"> transfery</t>
  </si>
  <si>
    <t>MĚSTO</t>
  </si>
  <si>
    <t>městem a MČ</t>
  </si>
  <si>
    <t>Přijaté splátky zápůjček, poskytnutých městským částem</t>
  </si>
  <si>
    <t>Saldo příjmů a výdajů</t>
  </si>
  <si>
    <t>MĚSTSKÉ  ČÁSTI</t>
  </si>
  <si>
    <t>MČ</t>
  </si>
  <si>
    <t>Přijaté transfery od města a jiných městských částí</t>
  </si>
  <si>
    <t>Splátky zápůjček městu</t>
  </si>
  <si>
    <t>PŘEHLED TRANSFERŮ</t>
  </si>
  <si>
    <t>statutární město Brno</t>
  </si>
  <si>
    <t>TŘÍDA</t>
  </si>
  <si>
    <t xml:space="preserve">NÁZEV TŘÍDY </t>
  </si>
  <si>
    <t>DAŇOVÉ PŘÍJMY</t>
  </si>
  <si>
    <t xml:space="preserve">NEDAŇOVÉ PŘÍJMY             </t>
  </si>
  <si>
    <t xml:space="preserve">KAPITÁLOVÉ PŘÍJMY </t>
  </si>
  <si>
    <t>PŘIJATÉ TRANSFERY                                                 *)</t>
  </si>
  <si>
    <t xml:space="preserve">C E L K E M </t>
  </si>
  <si>
    <t>ODDÍL</t>
  </si>
  <si>
    <t>NÁZEV ODDÍLU</t>
  </si>
  <si>
    <t>Nedaňové příjmy</t>
  </si>
  <si>
    <t>Kapitálové příjmy</t>
  </si>
  <si>
    <t xml:space="preserve"> Přijaté splátky zápůjček      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</si>
  <si>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</si>
  <si>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</si>
  <si>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</si>
  <si>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</si>
  <si>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</si>
  <si>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</si>
  <si>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</si>
  <si>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</si>
  <si>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31 a 32</t>
  </si>
  <si>
    <t xml:space="preserve"> Vzdělávání a školské služby</t>
  </si>
  <si>
    <t>33</t>
  </si>
  <si>
    <t xml:space="preserve"> Kultura, církve a sdělovací prostředky</t>
  </si>
  <si>
    <t>34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</si>
  <si>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</si>
  <si>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</si>
  <si>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</si>
  <si>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</si>
  <si>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</si>
  <si>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</si>
  <si>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</si>
  <si>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>53</t>
  </si>
  <si>
    <t xml:space="preserve"> Bezpečnost a veřejný pořádek</t>
  </si>
  <si>
    <t xml:space="preserve"> Požární ochrana a integrovaný záchranný systém</t>
  </si>
  <si>
    <t>61</t>
  </si>
  <si>
    <t xml:space="preserve"> Státní správa a územní samospráva</t>
  </si>
  <si>
    <t>62</t>
  </si>
  <si>
    <t xml:space="preserve"> Jiné veřejné služby a činnosti</t>
  </si>
  <si>
    <t>63</t>
  </si>
  <si>
    <t xml:space="preserve"> Finanční operace</t>
  </si>
  <si>
    <t xml:space="preserve"> *) konsolidace na úrovni statutárního města Brna</t>
  </si>
  <si>
    <t>Třída</t>
  </si>
  <si>
    <t>Položka</t>
  </si>
  <si>
    <t>Název položky</t>
  </si>
  <si>
    <t>11 Daně z příjmů, zisku a kapitálových výnosů</t>
  </si>
  <si>
    <t>13 Daně a poplatky z vybraných činností a služeb</t>
  </si>
  <si>
    <t>*)</t>
  </si>
  <si>
    <t>41 Neinvestiční přijaté transfery</t>
  </si>
  <si>
    <t>Členěno dle skupin, oddílů a paragrafů rozpočtové skladby</t>
  </si>
  <si>
    <t>Oddíl</t>
  </si>
  <si>
    <t>§</t>
  </si>
  <si>
    <t>nedaňové příjmy</t>
  </si>
  <si>
    <t>kapitálové příjmy</t>
  </si>
  <si>
    <t>nedaňové a kapitálové příjmy</t>
  </si>
  <si>
    <t xml:space="preserve"> město</t>
  </si>
  <si>
    <t>Přijaté splátky půjčených prostředků</t>
  </si>
  <si>
    <t xml:space="preserve">   Přijaté splátky půjčených prostředků</t>
  </si>
  <si>
    <t>Ostatní zemědělská a potravinářská činnost a rozvoj</t>
  </si>
  <si>
    <t>Pěstební činnost</t>
  </si>
  <si>
    <t>Podpora ostatních produkčních činností</t>
  </si>
  <si>
    <t>Sběr a zpracování druhotných surovin</t>
  </si>
  <si>
    <t>Vnitřní obchod</t>
  </si>
  <si>
    <t>Cestovní ruch</t>
  </si>
  <si>
    <t>Ostatní služby</t>
  </si>
  <si>
    <t>Ostatní správa v průmyslu, stavebnictví, obchodu a službách</t>
  </si>
  <si>
    <t>21 Průmysl, stavebnictví, obchod a služby</t>
  </si>
  <si>
    <t>Silnice</t>
  </si>
  <si>
    <t>Ostatní záležitosti pozemních komunikací</t>
  </si>
  <si>
    <t>22 Doprava</t>
  </si>
  <si>
    <t>Ostatní záležitosti vodního hospodářství</t>
  </si>
  <si>
    <t>23 Vodní hospodářství</t>
  </si>
  <si>
    <t>2 Průmyslová a ostatní odvětví hospodářství</t>
  </si>
  <si>
    <t>Mateřské školy</t>
  </si>
  <si>
    <t>Základní školy</t>
  </si>
  <si>
    <t>31 a 32 Vzdělávání a školské služby</t>
  </si>
  <si>
    <t>Divadelní činnost</t>
  </si>
  <si>
    <t>Hudební činnost</t>
  </si>
  <si>
    <t>Činnosti knihovnické</t>
  </si>
  <si>
    <t>Činnosti muzeí a galerií</t>
  </si>
  <si>
    <t>Výstavní činnosti v kultuře</t>
  </si>
  <si>
    <t>Ostatní záležitosti kultury</t>
  </si>
  <si>
    <t>Zachování a obnova kulturních památek</t>
  </si>
  <si>
    <t>Ostatní záležitosti sdělovacích prostředků</t>
  </si>
  <si>
    <t>Zájmová činnost v kultuře</t>
  </si>
  <si>
    <t>Ostatní záležitosti kultury, církví a sdělovacích prostředků</t>
  </si>
  <si>
    <t>33 Kultura, církve a sdělovací prostředky</t>
  </si>
  <si>
    <t>Využití volného času dětí a mládeže</t>
  </si>
  <si>
    <t>Ostatní zájmová činnost a rekreace</t>
  </si>
  <si>
    <t>Všeobecná ambulantní péče</t>
  </si>
  <si>
    <t>Ostatní ústavní péče</t>
  </si>
  <si>
    <t>35 Zdravotnictví</t>
  </si>
  <si>
    <t xml:space="preserve">Bytové hospodářství </t>
  </si>
  <si>
    <t>Nebytové hospodářství</t>
  </si>
  <si>
    <t>Ostatní rozvoj bydlení a bytové hospodářství</t>
  </si>
  <si>
    <t>Pohřebnictví</t>
  </si>
  <si>
    <t>Výstavba a údržba místních inženýrských sítí</t>
  </si>
  <si>
    <t>Komunální služby a územní rozvoj j.n.</t>
  </si>
  <si>
    <t>36 Bydlení, komunální služby a územní rozvoj</t>
  </si>
  <si>
    <t>Sběr a svoz komunálních odpadů</t>
  </si>
  <si>
    <t>Péče o vzhled obcí a veřejnou zeleň</t>
  </si>
  <si>
    <t>Ostatní správa v ochraně životního prostředí</t>
  </si>
  <si>
    <t>37 Ochrana životního prostředí</t>
  </si>
  <si>
    <t>Domovy pro seniory</t>
  </si>
  <si>
    <t>Domovy pro osoby se zdr. postižením a domovy se zvl. režimem</t>
  </si>
  <si>
    <t xml:space="preserve">          </t>
  </si>
  <si>
    <t>4 Sociální věci a politika zaměstnanosti</t>
  </si>
  <si>
    <t>Bezpečnost a veřejný pořádek</t>
  </si>
  <si>
    <t>53 Bezpečnost a veřejný pořádek</t>
  </si>
  <si>
    <t>Požární ochrana - dobrovolná část</t>
  </si>
  <si>
    <t>5 Bezpečnost státu a právní ochrana</t>
  </si>
  <si>
    <t>Činnost místní správy</t>
  </si>
  <si>
    <t>Archivní činnost</t>
  </si>
  <si>
    <t>62 Jiné veřejné služby a činnosti</t>
  </si>
  <si>
    <t>Obecné příjmy a výdaje z finančních operací</t>
  </si>
  <si>
    <t>63 Finanční operace</t>
  </si>
  <si>
    <t>6 Všeobecná veřejná správa a služby</t>
  </si>
  <si>
    <t>běžné výdaje</t>
  </si>
  <si>
    <t>kapitálové výdaje</t>
  </si>
  <si>
    <t>výdaje celkem</t>
  </si>
  <si>
    <t>V na obyv.</t>
  </si>
  <si>
    <t>v Kč</t>
  </si>
  <si>
    <t xml:space="preserve"> Bydlení, komunální služby a územní rozvoj                   </t>
  </si>
  <si>
    <t>38</t>
  </si>
  <si>
    <t xml:space="preserve"> Ostatní výzkum a vývoj</t>
  </si>
  <si>
    <t xml:space="preserve"> Ostatní činnosti související se službami pro obyvatelstvo</t>
  </si>
  <si>
    <t>52</t>
  </si>
  <si>
    <t>55</t>
  </si>
  <si>
    <t xml:space="preserve"> Finanční operace *)</t>
  </si>
  <si>
    <t>64</t>
  </si>
  <si>
    <t xml:space="preserve"> Ostatní činnosti   </t>
  </si>
  <si>
    <t>Název paragrafu</t>
  </si>
  <si>
    <t xml:space="preserve">Celospolečenské funkce lesů </t>
  </si>
  <si>
    <t>Úspora energie a obnovitelné zdroje</t>
  </si>
  <si>
    <t xml:space="preserve">Silnice </t>
  </si>
  <si>
    <t>Bezpečnost silničního provozu</t>
  </si>
  <si>
    <t>Ostatní záležitosti v silniční dopravě</t>
  </si>
  <si>
    <t>Ostatní dráhy</t>
  </si>
  <si>
    <t>Ostatní záležitosti v dopravě</t>
  </si>
  <si>
    <t xml:space="preserve">Pitná voda </t>
  </si>
  <si>
    <t>Odvádění a čištění odpadních vod a nakládání s kaly</t>
  </si>
  <si>
    <t>Odvádění a čištění odpadních vod j.n.</t>
  </si>
  <si>
    <t>Úpravy drobných vodních toků</t>
  </si>
  <si>
    <t xml:space="preserve">Základní školy </t>
  </si>
  <si>
    <t>První stupeň základních škol</t>
  </si>
  <si>
    <t>Dětské domovy</t>
  </si>
  <si>
    <t xml:space="preserve">Školní stravování </t>
  </si>
  <si>
    <t xml:space="preserve">Ostatní zařízení související s výchovou a vzděláváním mládeže </t>
  </si>
  <si>
    <t>31 Vzdělávání a školské služby</t>
  </si>
  <si>
    <t>Základní umělecké školy</t>
  </si>
  <si>
    <t>Střediska volného času</t>
  </si>
  <si>
    <t>32 Vzdělávání a školské služby</t>
  </si>
  <si>
    <t xml:space="preserve">Divadelní činnost </t>
  </si>
  <si>
    <t>Filmová tvorba, distribuce, kina a audiovizuální archiválie</t>
  </si>
  <si>
    <t xml:space="preserve">Činnosti knihovnické </t>
  </si>
  <si>
    <t xml:space="preserve">Činnosti muzeí a galerií </t>
  </si>
  <si>
    <t>Vydavatelská činnost</t>
  </si>
  <si>
    <t xml:space="preserve">Výstavní činnosti v kultuře </t>
  </si>
  <si>
    <t xml:space="preserve">Zachování a obnova kulturních památek </t>
  </si>
  <si>
    <t>Ostatní záležitosti ochrany památek a péče o kulturní dědictví</t>
  </si>
  <si>
    <t>Rozhlas a televize</t>
  </si>
  <si>
    <t xml:space="preserve">Ostatní záležitosti sdělovacích prostředků </t>
  </si>
  <si>
    <t xml:space="preserve">Všeobecná ambulantní péče </t>
  </si>
  <si>
    <t>Ostatní nemocnice</t>
  </si>
  <si>
    <t xml:space="preserve">Odborné léčebné ústavy </t>
  </si>
  <si>
    <t>Prevence před drogami, alkoholem, nikotinem a jinými závislostmi</t>
  </si>
  <si>
    <t>Pomoc zdravotně postiženým</t>
  </si>
  <si>
    <t>Ostatní činnost ve zdravotnictví</t>
  </si>
  <si>
    <t>Bytové hospodářství</t>
  </si>
  <si>
    <t>Veřejné osvětlení</t>
  </si>
  <si>
    <t xml:space="preserve">Pohřebnictví </t>
  </si>
  <si>
    <t xml:space="preserve">Územní plánování </t>
  </si>
  <si>
    <t>Územní rozvoj</t>
  </si>
  <si>
    <t xml:space="preserve">Komunální služby a územní rozvoj  j.n. </t>
  </si>
  <si>
    <t xml:space="preserve">Monitoring ochrany ovzduší </t>
  </si>
  <si>
    <t xml:space="preserve">Sběr a svoz komunálních odpadů </t>
  </si>
  <si>
    <t>Ostatní nakládání s odpady</t>
  </si>
  <si>
    <t xml:space="preserve">Monitoring půdy a podzemní vody </t>
  </si>
  <si>
    <t xml:space="preserve">Ostatní ochrana půdy a spodní vody </t>
  </si>
  <si>
    <t xml:space="preserve">Ochrana druhů a stanovišť </t>
  </si>
  <si>
    <t xml:space="preserve">Chráněné části přírody </t>
  </si>
  <si>
    <t xml:space="preserve">Péče o vzhled obcí a veřejnou zeleň </t>
  </si>
  <si>
    <t>Ostatní činnosti k ochraně přírody a krajiny</t>
  </si>
  <si>
    <t xml:space="preserve">Ekologická výchova a osvěta </t>
  </si>
  <si>
    <t>38 Ostatní výzkum a vývoj</t>
  </si>
  <si>
    <t>Zařízení pro děti vyžadující okamžitou pomoc</t>
  </si>
  <si>
    <t>Ostatní sociální pomoc dětem a mládeži</t>
  </si>
  <si>
    <t>Ostatní sociální péče a pomoc rodině a manželství</t>
  </si>
  <si>
    <t>Ostatní služby a činnosti v oblasti sociální péče</t>
  </si>
  <si>
    <t>Azylové domy, nízkoprahová denní centra a noclehárny</t>
  </si>
  <si>
    <t>Ostatní záležitosti sociálních věcí a politiky zaměstnanosti</t>
  </si>
  <si>
    <t>Ochrana obyvatelstva</t>
  </si>
  <si>
    <t>Ostatní správa v oblasti krizového řízení</t>
  </si>
  <si>
    <t>52 Civilní připravenost na krizové stavy</t>
  </si>
  <si>
    <t xml:space="preserve">Bezpečnost a veřejný pořádek </t>
  </si>
  <si>
    <t>Ostatní záležitosti bezpečnosti a veřejného pořádku</t>
  </si>
  <si>
    <t xml:space="preserve">Požární ochrana - profesionální část </t>
  </si>
  <si>
    <t xml:space="preserve">Požární ochrana - dobrovolná část </t>
  </si>
  <si>
    <t>Ostatní záležitosti požární ochrany</t>
  </si>
  <si>
    <t>55 Požární ochrana a integrovaný záchranný systém</t>
  </si>
  <si>
    <t>Zastupitelstva obcí</t>
  </si>
  <si>
    <t xml:space="preserve">Archivní činnost </t>
  </si>
  <si>
    <t>Mezinárodní spolupráce j.n.</t>
  </si>
  <si>
    <t>Pojištění funkčně nespecifikované</t>
  </si>
  <si>
    <t>Ostatní finanční operace</t>
  </si>
  <si>
    <t xml:space="preserve">Ostatní činnosti j.n.  </t>
  </si>
  <si>
    <t>64 Ostatní činnosti</t>
  </si>
  <si>
    <r>
      <t xml:space="preserve">1) </t>
    </r>
    <r>
      <rPr>
        <sz val="10"/>
        <rFont val="Calibri"/>
        <family val="2"/>
        <charset val="238"/>
        <scheme val="minor"/>
      </rPr>
      <t>Daň z příjmů právnických osob za město z rozpočtové činnosti je v příjmech i ve výdajích ve stejné výši a neovlivňuje saldo příjmů a výdajů</t>
    </r>
  </si>
  <si>
    <t>Seskupení</t>
  </si>
  <si>
    <t>1 DAŇOVÉ PŘÍJMY</t>
  </si>
  <si>
    <t>4 PŘIJATÉ TRANSFERY</t>
  </si>
  <si>
    <t>(tis. Kč)</t>
  </si>
  <si>
    <r>
      <t>Členěno dle položek rozpočtové skladby</t>
    </r>
    <r>
      <rPr>
        <i/>
        <vertAlign val="superscript"/>
        <sz val="10"/>
        <rFont val="Calibri"/>
        <family val="2"/>
        <charset val="238"/>
        <scheme val="minor"/>
      </rPr>
      <t xml:space="preserve"> </t>
    </r>
  </si>
  <si>
    <t>Skupina</t>
  </si>
  <si>
    <t>NEDAŇOVÉ A KAPITÁLOVÉ PŘÍJMY CELKEM</t>
  </si>
  <si>
    <t xml:space="preserve"> (tis. Kč)</t>
  </si>
  <si>
    <r>
      <t xml:space="preserve">Převody vlastním fondům v rozpočtech územní úrovně </t>
    </r>
    <r>
      <rPr>
        <vertAlign val="superscript"/>
        <sz val="10"/>
        <rFont val="Calibri"/>
        <family val="2"/>
        <charset val="238"/>
        <scheme val="minor"/>
      </rPr>
      <t>*)</t>
    </r>
  </si>
  <si>
    <t>VÝDAJE CELKEM</t>
  </si>
  <si>
    <t>PŘIJATÉ TRANSFERY</t>
  </si>
  <si>
    <t>DATA PRO GRAFY</t>
  </si>
  <si>
    <t>SMB</t>
  </si>
  <si>
    <t xml:space="preserve"> SMB</t>
  </si>
  <si>
    <t xml:space="preserve"> MĚSTO</t>
  </si>
  <si>
    <t xml:space="preserve"> MČ</t>
  </si>
  <si>
    <t>Počet obyvatel Brna:</t>
  </si>
  <si>
    <t>SMB/OBYVATELE</t>
  </si>
  <si>
    <t>DPMB</t>
  </si>
  <si>
    <t>OSTATNÍ</t>
  </si>
  <si>
    <t>138x</t>
  </si>
  <si>
    <t>Daňové příjmy celkem (ř.7 až ř.14)</t>
  </si>
  <si>
    <t>Nedaňové příjmy celkem (ř.16 až ř.21)</t>
  </si>
  <si>
    <t>Ostatní činnosti k ochraně ovzduší</t>
  </si>
  <si>
    <t>Rezervy rozpočtu</t>
  </si>
  <si>
    <t>24 Spoje</t>
  </si>
  <si>
    <t>Ostatní záležitosti spojů</t>
  </si>
  <si>
    <t xml:space="preserve"> Spoje</t>
  </si>
  <si>
    <t>Podpora podnikání a inovací</t>
  </si>
  <si>
    <t>Krizová pomoc</t>
  </si>
  <si>
    <t>43 Sociální služby a pomoc a společné činnosti v sociálním zabezpečení</t>
  </si>
  <si>
    <t>Územní plánování</t>
  </si>
  <si>
    <t>Ozdravování hospodářských zvířat a plodin a zvl. veterinární péče</t>
  </si>
  <si>
    <t>Zdravotnická záchranná služba</t>
  </si>
  <si>
    <t>Krizová opatření</t>
  </si>
  <si>
    <t>24  Spoje</t>
  </si>
  <si>
    <t>Záležitosti pošt</t>
  </si>
  <si>
    <t>Střední školy poskytující střední vzdělání s výučním listem</t>
  </si>
  <si>
    <t xml:space="preserve"> Bydlení, komunální služ. a územ. rozvoj</t>
  </si>
  <si>
    <t>Dopravní obslužnost veřejnými službami - linková</t>
  </si>
  <si>
    <t>Ostatní záležitosti základního vzdělávání</t>
  </si>
  <si>
    <t>Ostatní sportovní činnost</t>
  </si>
  <si>
    <t>501x+503x</t>
  </si>
  <si>
    <t>Vodní díla v zemědělské krajině</t>
  </si>
  <si>
    <t>Provoz veřejné silniční dopravy</t>
  </si>
  <si>
    <t>Neinvestiční převody mezi městem a městskými částmi - transfery</t>
  </si>
  <si>
    <t>Neinvestiční převody mezi městskými částmi - transfery</t>
  </si>
  <si>
    <t>Neinvestiční převody mezi městem a městskými částmi - splátky zápůjček</t>
  </si>
  <si>
    <t>Investiční převody mezi městem a městskými částmi - transfery</t>
  </si>
  <si>
    <t xml:space="preserve">Financování statutárního města Brna celkem (ř.1 až ř.4) </t>
  </si>
  <si>
    <t>5901+5903</t>
  </si>
  <si>
    <t>Neinvestiční převody mezi městem a městskými částmi - zápůjčky</t>
  </si>
  <si>
    <t>42 Investiční přijaté transfery</t>
  </si>
  <si>
    <t xml:space="preserve">Běžné výdaje celkem  (ř.1 až ř.14) </t>
  </si>
  <si>
    <t xml:space="preserve">Kapitálové výdaje celkem (ř.16 až ř.18) </t>
  </si>
  <si>
    <t>Výdaje statutárního města Brna celkem  (ř.15 + ř.19)</t>
  </si>
  <si>
    <t>4137,4251</t>
  </si>
  <si>
    <t>Poskytnuté transfery městským částem - neinvestiční</t>
  </si>
  <si>
    <t>Poskytnuté transfery městským částem - investiční</t>
  </si>
  <si>
    <t>Přijaté transfery</t>
  </si>
  <si>
    <t>Poskytnuté transfery</t>
  </si>
  <si>
    <t>Ostatní služby a činnosti v oblasti sociální prevence</t>
  </si>
  <si>
    <t>Dopravní obslužnost mimo veřejnou službu</t>
  </si>
  <si>
    <t>Dopravní obslužnost veřejnými službami - drážní</t>
  </si>
  <si>
    <t>Programy paliativní péče</t>
  </si>
  <si>
    <t>Sociální rehabilitace</t>
  </si>
  <si>
    <t>Příjem z daně z příjmů fyzických osob placené plátci</t>
  </si>
  <si>
    <t>Příjem z daně z příjmů fyzických osob placené poplatníky</t>
  </si>
  <si>
    <t>Příjem z daně z příjmů fyzických osob vybírané srážkou</t>
  </si>
  <si>
    <t xml:space="preserve">Příjem z daně z příjmů právnických osob </t>
  </si>
  <si>
    <t>Příjem z daně z přidané hodnoty</t>
  </si>
  <si>
    <t>Příjem z daně z nemovitých věcí</t>
  </si>
  <si>
    <t>Příjem z daně z příjmů právnických osob za obce - rozpočtová činnost</t>
  </si>
  <si>
    <t>Příjem z poplatků a odvodů v oblasti životního prostředí</t>
  </si>
  <si>
    <t>Příjem z místních poplatků z vybraných činností a služeb</t>
  </si>
  <si>
    <t>Příjem z ostatních odvodů z vybraných činností a služeb</t>
  </si>
  <si>
    <t>Příjem ze správních poplatků</t>
  </si>
  <si>
    <t>Příjem z daní, poplatků a jiných obd. peněžitých plnění v oblasti hazardních her</t>
  </si>
  <si>
    <t xml:space="preserve">Příjem z vlastní činnosti </t>
  </si>
  <si>
    <t xml:space="preserve">Příjem z pronájmu nebo pachtu majetku </t>
  </si>
  <si>
    <t>Přijaté výnosy z finančního majetku</t>
  </si>
  <si>
    <t>Převody z vlastních fondů podnikatelské činnosti</t>
  </si>
  <si>
    <t>Neinvestiční přijaté transfery od obcí</t>
  </si>
  <si>
    <t xml:space="preserve">Neinvestiční přijaté transfery ze SR v rámci souhrnného dotačního vztahu </t>
  </si>
  <si>
    <t>Platy, povinné a zákonné pojistné</t>
  </si>
  <si>
    <t>Výdaje na ostatní platby za provedenou práci</t>
  </si>
  <si>
    <t>Výdaje na nákup služeb</t>
  </si>
  <si>
    <t>Neinvestiční transfery nefinančním podnikatelům - DPmB</t>
  </si>
  <si>
    <t>Neinvestiční transfery neziskovým a podobným osobám</t>
  </si>
  <si>
    <t>Kapitálové příjmy celkem (ř.23 + ř.24)</t>
  </si>
  <si>
    <t>Vlastní příjmy (ř.15 + ř.22 + ř.25)</t>
  </si>
  <si>
    <t>Přijaté transfery celkem (ř.27 až ř.34)</t>
  </si>
  <si>
    <t>Příjmy statutárního města Brna celkem (ř.26 + ř.35)</t>
  </si>
  <si>
    <r>
      <t>Příjem z daně z příjmů právnických osob za obce - rozpočtová činnost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</si>
  <si>
    <t>Příjem z odvodů za odnětí půdy ze zemědělského půdního fondu</t>
  </si>
  <si>
    <t>Příjem z poplatků za odnětí pozemků podle lesního zákona</t>
  </si>
  <si>
    <t>Příjem z poplatku za obecní systém odpadového hospodářství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</si>
  <si>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</si>
  <si>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</si>
  <si>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</si>
  <si>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</si>
  <si>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za zkoušky z odb. způsobilosti od žadatelů o řidičské oprávnění</t>
  </si>
  <si>
    <t>Příjem z úhrad za dobývání nerostů a poplatků za geologické práce</t>
  </si>
  <si>
    <t>Příjem z daně z hazardních her s výjimkou dílčí daně z technických her</t>
  </si>
  <si>
    <t>Příjem z dílčí daně z technických her</t>
  </si>
  <si>
    <t>Střední odborné školy</t>
  </si>
  <si>
    <t>Ostatní záležitosti lesního hospodářství</t>
  </si>
  <si>
    <t xml:space="preserve">Využívání a zneškodňování komunálních odpadů </t>
  </si>
  <si>
    <t xml:space="preserve"> Zemědělství, lesní hospodářství a rybářství</t>
  </si>
  <si>
    <t xml:space="preserve"> Sport a zájmová činnost</t>
  </si>
  <si>
    <t xml:space="preserve"> Sociální služby a společné činnosti v sociálním zabezpečení</t>
  </si>
  <si>
    <t xml:space="preserve"> Státní moc, státní správa, územní samospráva a pol. strany</t>
  </si>
  <si>
    <t>10 Zemědělství, lesní hospodářství a rybářství</t>
  </si>
  <si>
    <t>1 Zemědělství, lesní hospodářství a rybářství</t>
  </si>
  <si>
    <t>3 Služby pro fyzické osoby</t>
  </si>
  <si>
    <t>34 Sport a zájmová činnost</t>
  </si>
  <si>
    <t>43 Sociální služby a společné činnosti v sociálním zabezpečení</t>
  </si>
  <si>
    <t>61  Státní moc, státní správa, územní samospráva a pol. strany</t>
  </si>
  <si>
    <t>12 Daně, poplatky a jiná obdobná peněžitá plnění ze zboží a služeb v tuzemsku</t>
  </si>
  <si>
    <t>15 Příjem z majetkových daní</t>
  </si>
  <si>
    <t>Podnikání a restrukturalizace v zemědělství a potravinářství</t>
  </si>
  <si>
    <t xml:space="preserve">Ostatní záležitosti v silniční dopravě </t>
  </si>
  <si>
    <t>Zařízení výchovného poradenství</t>
  </si>
  <si>
    <t>Sportovní zařízení ve vlastnictví obce</t>
  </si>
  <si>
    <t>Soc. pomoc osobám v hmotné nouzi a soc. nepřizpůsobivým</t>
  </si>
  <si>
    <t>Rybářství a myslivost</t>
  </si>
  <si>
    <t xml:space="preserve">Úpravy vodohospodářsky významných a vodárenských toků    </t>
  </si>
  <si>
    <t>Základní školy pro žáky se speciálními vzdělávacími potřebami</t>
  </si>
  <si>
    <t>Záležitosti zájmového vzdělávání j.n.</t>
  </si>
  <si>
    <t>Pořízení, zachování a obnova hodnot místního kulturního povědomí</t>
  </si>
  <si>
    <t>Činnosti registrovaných církví a náboženských společností</t>
  </si>
  <si>
    <t>Ostatní rozvoj bydlení a bytového hospodářství</t>
  </si>
  <si>
    <t>Sběr a svoz ostatních odpadů jiných než nebezpečných a komunálních</t>
  </si>
  <si>
    <t xml:space="preserve">Protierozní, protilavinová a protipožární ochrana </t>
  </si>
  <si>
    <t>Ostatní výzkum a vývoj odvětvově nespecifikovaný</t>
  </si>
  <si>
    <t>Ostatní činnosti související se službami pro fyzické osoby</t>
  </si>
  <si>
    <t xml:space="preserve">Sociální péče a pomoc přistěhovalcům a vybraným etnikům </t>
  </si>
  <si>
    <t>Ost. sociální péče a pomoc ostatním skupinám fyzických osob</t>
  </si>
  <si>
    <t>Osobní asistence, pečovatel. služba a podpora samostatného bydlení</t>
  </si>
  <si>
    <t>Záležitosti krizového řízení j.n.</t>
  </si>
  <si>
    <t xml:space="preserve"> Soc. služby a spol. činnosti v soc. zabezpečení</t>
  </si>
  <si>
    <t xml:space="preserve"> Soc. služby a spol. činnosti v soc. zab.</t>
  </si>
  <si>
    <t>Ostatní záležitosti bydlení, komunálních služeb a úz. rozvoje</t>
  </si>
  <si>
    <t>Ostatní správa v oblasti hosp. opatření pro krizové stavy</t>
  </si>
  <si>
    <t>Hospice</t>
  </si>
  <si>
    <t>Mezinárodní spolupráce v dopravě</t>
  </si>
  <si>
    <t>Lokální zásobování teplem</t>
  </si>
  <si>
    <t>Poskytnuté transfery jiným městským částem - neinvestiční</t>
  </si>
  <si>
    <t xml:space="preserve"> Ostatní výdaje</t>
  </si>
  <si>
    <t xml:space="preserve"> Ostatní činnosti související se službami pro fyzické osoby</t>
  </si>
  <si>
    <t>39 Ostatní činnosti související se službami pro fyzické osoby</t>
  </si>
  <si>
    <t xml:space="preserve"> Civilní připravenost na krizové stavy</t>
  </si>
  <si>
    <t>Ozdravování hospodářských zvířat, plodin a zvl. veterinární péče</t>
  </si>
  <si>
    <t>Příjem z odvodů přebytků organizací s přímým vztahem</t>
  </si>
  <si>
    <t>SCHVÁLENÝ ROZPOČET 2024</t>
  </si>
  <si>
    <t>SCHVÁLENÝ ROZPOČET NA ROK 2024</t>
  </si>
  <si>
    <t>PŘÍJMY STATUTÁRNÍHO MĚSTA BRNA - SCHVÁLENÝ ROZPOČET NA ROK 2024 - rekapitulace dle druhů příjmů a dle oddílů (tis. Kč)</t>
  </si>
  <si>
    <t>DAŇOVÉ PŘÍJMY STATUTÁRNÍHO MĚSTA BRNA - SCHVÁLENÝ ROZPOČET NA ROK 2024</t>
  </si>
  <si>
    <t>TRANSFERY, PŘIJATÉ STATUTÁRNÍM MĚSTEM BRNEM - SCHVÁLENÝ ROZPOČET NA ROK 2024</t>
  </si>
  <si>
    <t>NEDAŇOVÉ A KAPITÁLOVÉ PŘÍJMY STATUTÁRNÍHO MĚSTA BRNA - SCHVÁLENÝ ROZPOČET NA ROK 2024</t>
  </si>
  <si>
    <t>VÝDAJE STATUTÁRNÍHO MĚSTA BRNA - SCHVÁLENÝ ROZPOČET NA ROK 2024 - rekapitulace dle druhů výdajů a dle oddílů (tis. Kč)</t>
  </si>
  <si>
    <t>BĚŽNÉ A KAPITÁLOVÉ VÝDAJE STATUTÁRNÍHO MĚSTA BRNA - SCHVÁLENÝ ROZPOČET NA ROK 2024</t>
  </si>
  <si>
    <t>Zabezpečení služeb ozbrojených sil</t>
  </si>
  <si>
    <t>51 Obrana</t>
  </si>
  <si>
    <t xml:space="preserve"> Obrana</t>
  </si>
  <si>
    <t>Ostatní záležitosti těžebního průmyslu a energetiky</t>
  </si>
  <si>
    <t>Ostatní záležitosti vzdělávání</t>
  </si>
  <si>
    <t>Nepřevedené částky, vyrovnávající schodek - kontokorentní úvěry</t>
  </si>
  <si>
    <t>Změna stavu krátkodobých prostředků na ban. účtech, operace řízení likvidity</t>
  </si>
  <si>
    <t>Ostatní záležitosti bezpečnosti, veřejného pořádku</t>
  </si>
  <si>
    <t>Zastupitelstva krajů</t>
  </si>
  <si>
    <t>Volby do Evropského parlamentu</t>
  </si>
  <si>
    <t>Ostatní zdravotnická zařízení a služby pro zdravotnictví</t>
  </si>
  <si>
    <t>Ostatní správa v oblasti kultury, církví a sdělovacích prostředků</t>
  </si>
  <si>
    <t>Gymnázia</t>
  </si>
  <si>
    <t xml:space="preserve">Příjem z daně z příjmů právnických osob za obce - VPČ </t>
  </si>
  <si>
    <t>Příjem z daně z příjmů právnických osob za obce - VPČ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</si>
</sst>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"/>
    <numFmt numFmtId="165" formatCode="#,##0.0_);\(#,##0.0\)"/>
    <numFmt numFmtId="166" formatCode="#,##0.0"/>
    <numFmt numFmtId="167" formatCode="#,##0.000"/>
  </numFmts>
  <fonts count="21" x14ac:knownFonts="1"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4"/>
      <name val="Calibri Light"/>
      <family val="2"/>
      <charset val="238"/>
      <scheme val="major"/>
    </font>
    <font>
      <u/>
      <sz val="16"/>
      <name val="Calibri Light"/>
      <family val="2"/>
      <charset val="238"/>
      <scheme val="maj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name val="Arial CE"/>
      <charset val="238"/>
    </font>
    <font>
      <sz val="9.5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5" fillId="0" borderId="0"/>
    <xf numFmtId="0" fontId="19" fillId="0" borderId="0"/>
  </cellStyleXfs>
  <cellXfs count="43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1" fontId="1" fillId="0" borderId="9" xfId="0" applyNumberFormat="1" applyFont="1" applyBorder="1" applyAlignment="1">
      <alignment horizontal="center"/>
    </xf>
    <xf numFmtId="0" fontId="1" fillId="0" borderId="10" xfId="0" applyFont="1" applyBorder="1"/>
    <xf numFmtId="1" fontId="1" fillId="0" borderId="11" xfId="0" applyNumberFormat="1" applyFont="1" applyBorder="1"/>
    <xf numFmtId="164" fontId="1" fillId="0" borderId="11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1" fontId="1" fillId="0" borderId="13" xfId="0" applyNumberFormat="1" applyFont="1" applyBorder="1"/>
    <xf numFmtId="164" fontId="1" fillId="0" borderId="13" xfId="0" applyNumberFormat="1" applyFont="1" applyBorder="1" applyAlignment="1">
      <alignment horizontal="left"/>
    </xf>
    <xf numFmtId="3" fontId="1" fillId="0" borderId="14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165" fontId="1" fillId="0" borderId="13" xfId="0" applyNumberFormat="1" applyFont="1" applyBorder="1" applyAlignment="1">
      <alignment horizontal="left"/>
    </xf>
    <xf numFmtId="1" fontId="1" fillId="0" borderId="15" xfId="0" applyNumberFormat="1" applyFont="1" applyBorder="1"/>
    <xf numFmtId="165" fontId="1" fillId="0" borderId="15" xfId="0" applyNumberFormat="1" applyFont="1" applyBorder="1" applyAlignment="1">
      <alignment horizontal="left"/>
    </xf>
    <xf numFmtId="3" fontId="1" fillId="0" borderId="16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3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" fontId="2" fillId="0" borderId="15" xfId="0" applyNumberFormat="1" applyFont="1" applyBorder="1" applyAlignment="1">
      <alignment horizontal="right"/>
    </xf>
    <xf numFmtId="165" fontId="2" fillId="0" borderId="15" xfId="0" applyNumberFormat="1" applyFont="1" applyBorder="1" applyAlignment="1">
      <alignment horizontal="left"/>
    </xf>
    <xf numFmtId="3" fontId="2" fillId="0" borderId="16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1" fontId="1" fillId="0" borderId="11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left"/>
    </xf>
    <xf numFmtId="3" fontId="1" fillId="0" borderId="20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" fontId="1" fillId="0" borderId="9" xfId="0" applyNumberFormat="1" applyFont="1" applyBorder="1"/>
    <xf numFmtId="165" fontId="2" fillId="0" borderId="9" xfId="0" applyNumberFormat="1" applyFont="1" applyBorder="1" applyAlignment="1">
      <alignment horizontal="left"/>
    </xf>
    <xf numFmtId="3" fontId="2" fillId="0" borderId="22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left"/>
    </xf>
    <xf numFmtId="3" fontId="1" fillId="0" borderId="23" xfId="0" applyNumberFormat="1" applyFont="1" applyBorder="1" applyAlignment="1">
      <alignment horizontal="center"/>
    </xf>
    <xf numFmtId="0" fontId="1" fillId="0" borderId="24" xfId="0" applyFont="1" applyBorder="1"/>
    <xf numFmtId="1" fontId="2" fillId="2" borderId="15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left"/>
    </xf>
    <xf numFmtId="3" fontId="2" fillId="2" borderId="15" xfId="0" applyNumberFormat="1" applyFont="1" applyFill="1" applyBorder="1" applyAlignment="1">
      <alignment horizontal="right"/>
    </xf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25" xfId="0" applyFont="1" applyBorder="1"/>
    <xf numFmtId="1" fontId="1" fillId="0" borderId="26" xfId="0" applyNumberFormat="1" applyFont="1" applyBorder="1" applyAlignment="1">
      <alignment horizontal="right"/>
    </xf>
    <xf numFmtId="0" fontId="1" fillId="0" borderId="26" xfId="0" applyFont="1" applyBorder="1" applyAlignment="1">
      <alignment horizontal="left"/>
    </xf>
    <xf numFmtId="3" fontId="1" fillId="0" borderId="23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0" fontId="1" fillId="0" borderId="27" xfId="0" applyFont="1" applyBorder="1"/>
    <xf numFmtId="1" fontId="1" fillId="0" borderId="1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18" xfId="0" applyNumberFormat="1" applyFont="1" applyBorder="1"/>
    <xf numFmtId="3" fontId="1" fillId="0" borderId="19" xfId="0" applyNumberFormat="1" applyFont="1" applyBorder="1"/>
    <xf numFmtId="1" fontId="1" fillId="0" borderId="18" xfId="0" applyNumberFormat="1" applyFont="1" applyBorder="1"/>
    <xf numFmtId="165" fontId="1" fillId="0" borderId="18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165" fontId="2" fillId="0" borderId="28" xfId="0" applyNumberFormat="1" applyFont="1" applyBorder="1" applyAlignment="1">
      <alignment horizontal="left"/>
    </xf>
    <xf numFmtId="1" fontId="1" fillId="0" borderId="23" xfId="0" applyNumberFormat="1" applyFont="1" applyBorder="1"/>
    <xf numFmtId="165" fontId="1" fillId="0" borderId="23" xfId="0" applyNumberFormat="1" applyFont="1" applyBorder="1" applyAlignment="1">
      <alignment horizontal="left"/>
    </xf>
    <xf numFmtId="1" fontId="1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left"/>
    </xf>
    <xf numFmtId="1" fontId="2" fillId="0" borderId="22" xfId="0" applyNumberFormat="1" applyFont="1" applyBorder="1" applyAlignment="1">
      <alignment horizontal="right"/>
    </xf>
    <xf numFmtId="165" fontId="2" fillId="0" borderId="22" xfId="0" applyNumberFormat="1" applyFont="1" applyBorder="1" applyAlignment="1">
      <alignment horizontal="left"/>
    </xf>
    <xf numFmtId="165" fontId="2" fillId="0" borderId="0" xfId="0" applyNumberFormat="1" applyFont="1" applyAlignment="1">
      <alignment horizontal="left"/>
    </xf>
    <xf numFmtId="3" fontId="1" fillId="0" borderId="13" xfId="0" applyNumberFormat="1" applyFont="1" applyBorder="1"/>
    <xf numFmtId="1" fontId="2" fillId="2" borderId="29" xfId="0" applyNumberFormat="1" applyFont="1" applyFill="1" applyBorder="1" applyAlignment="1">
      <alignment horizontal="right"/>
    </xf>
    <xf numFmtId="164" fontId="2" fillId="2" borderId="29" xfId="0" applyNumberFormat="1" applyFont="1" applyFill="1" applyBorder="1" applyAlignment="1">
      <alignment horizontal="left"/>
    </xf>
    <xf numFmtId="3" fontId="2" fillId="2" borderId="29" xfId="0" applyNumberFormat="1" applyFont="1" applyFill="1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1" fillId="0" borderId="31" xfId="0" applyFont="1" applyBorder="1"/>
    <xf numFmtId="0" fontId="1" fillId="0" borderId="26" xfId="0" applyFont="1" applyBorder="1" applyAlignment="1">
      <alignment horizontal="right"/>
    </xf>
    <xf numFmtId="1" fontId="1" fillId="0" borderId="32" xfId="0" applyNumberFormat="1" applyFont="1" applyBorder="1"/>
    <xf numFmtId="3" fontId="1" fillId="0" borderId="26" xfId="0" applyNumberFormat="1" applyFont="1" applyBorder="1"/>
    <xf numFmtId="0" fontId="1" fillId="0" borderId="11" xfId="0" applyFont="1" applyBorder="1" applyAlignment="1">
      <alignment horizontal="right"/>
    </xf>
    <xf numFmtId="1" fontId="1" fillId="0" borderId="33" xfId="0" applyNumberFormat="1" applyFont="1" applyBorder="1"/>
    <xf numFmtId="3" fontId="1" fillId="0" borderId="11" xfId="0" applyNumberFormat="1" applyFont="1" applyBorder="1"/>
    <xf numFmtId="0" fontId="2" fillId="0" borderId="15" xfId="0" applyFont="1" applyBorder="1" applyAlignment="1">
      <alignment horizontal="right"/>
    </xf>
    <xf numFmtId="1" fontId="1" fillId="0" borderId="34" xfId="0" applyNumberFormat="1" applyFont="1" applyBorder="1"/>
    <xf numFmtId="3" fontId="1" fillId="0" borderId="15" xfId="0" applyNumberFormat="1" applyFont="1" applyBorder="1"/>
    <xf numFmtId="0" fontId="1" fillId="0" borderId="35" xfId="0" applyFont="1" applyBorder="1"/>
    <xf numFmtId="0" fontId="1" fillId="0" borderId="29" xfId="0" applyFont="1" applyBorder="1" applyAlignment="1">
      <alignment horizontal="right"/>
    </xf>
    <xf numFmtId="1" fontId="1" fillId="0" borderId="36" xfId="0" applyNumberFormat="1" applyFont="1" applyBorder="1"/>
    <xf numFmtId="3" fontId="1" fillId="0" borderId="29" xfId="0" applyNumberFormat="1" applyFont="1" applyBorder="1"/>
    <xf numFmtId="0" fontId="1" fillId="0" borderId="0" xfId="0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centerContinuous"/>
    </xf>
    <xf numFmtId="164" fontId="6" fillId="0" borderId="0" xfId="1" applyNumberFormat="1" applyFont="1" applyAlignment="1">
      <alignment horizontal="right"/>
    </xf>
    <xf numFmtId="3" fontId="1" fillId="0" borderId="0" xfId="1" applyNumberFormat="1" applyFont="1"/>
    <xf numFmtId="0" fontId="1" fillId="0" borderId="38" xfId="1" applyFont="1" applyBorder="1"/>
    <xf numFmtId="164" fontId="2" fillId="0" borderId="39" xfId="1" applyNumberFormat="1" applyFont="1" applyBorder="1" applyAlignment="1">
      <alignment horizontal="center"/>
    </xf>
    <xf numFmtId="0" fontId="1" fillId="0" borderId="39" xfId="1" applyFont="1" applyBorder="1"/>
    <xf numFmtId="0" fontId="2" fillId="0" borderId="39" xfId="1" applyFont="1" applyBorder="1"/>
    <xf numFmtId="0" fontId="1" fillId="0" borderId="39" xfId="1" applyFont="1" applyBorder="1" applyAlignment="1">
      <alignment horizontal="right"/>
    </xf>
    <xf numFmtId="0" fontId="2" fillId="0" borderId="39" xfId="1" applyFont="1" applyBorder="1" applyAlignment="1">
      <alignment horizontal="right"/>
    </xf>
    <xf numFmtId="0" fontId="1" fillId="0" borderId="41" xfId="1" applyFont="1" applyBorder="1"/>
    <xf numFmtId="164" fontId="2" fillId="0" borderId="42" xfId="1" applyNumberFormat="1" applyFont="1" applyBorder="1" applyAlignment="1">
      <alignment horizontal="center"/>
    </xf>
    <xf numFmtId="0" fontId="1" fillId="0" borderId="40" xfId="1" applyFont="1" applyBorder="1"/>
    <xf numFmtId="0" fontId="1" fillId="0" borderId="43" xfId="1" applyFont="1" applyBorder="1"/>
    <xf numFmtId="0" fontId="2" fillId="0" borderId="38" xfId="1" applyFont="1" applyBorder="1" applyAlignment="1">
      <alignment horizontal="center"/>
    </xf>
    <xf numFmtId="164" fontId="2" fillId="0" borderId="40" xfId="1" applyNumberFormat="1" applyFont="1" applyBorder="1" applyAlignment="1">
      <alignment horizontal="center"/>
    </xf>
    <xf numFmtId="0" fontId="2" fillId="0" borderId="0" xfId="1" applyFont="1"/>
    <xf numFmtId="3" fontId="1" fillId="0" borderId="38" xfId="1" applyNumberFormat="1" applyFont="1" applyBorder="1"/>
    <xf numFmtId="3" fontId="1" fillId="0" borderId="39" xfId="1" applyNumberFormat="1" applyFont="1" applyBorder="1"/>
    <xf numFmtId="3" fontId="1" fillId="0" borderId="40" xfId="1" applyNumberFormat="1" applyFont="1" applyBorder="1"/>
    <xf numFmtId="0" fontId="7" fillId="0" borderId="37" xfId="1" applyFont="1" applyBorder="1" applyAlignment="1">
      <alignment horizontal="right"/>
    </xf>
    <xf numFmtId="3" fontId="2" fillId="0" borderId="45" xfId="1" applyNumberFormat="1" applyFont="1" applyBorder="1"/>
    <xf numFmtId="0" fontId="7" fillId="0" borderId="46" xfId="1" applyFont="1" applyBorder="1"/>
    <xf numFmtId="0" fontId="1" fillId="0" borderId="0" xfId="1" applyFont="1" applyAlignment="1">
      <alignment horizontal="left"/>
    </xf>
    <xf numFmtId="3" fontId="2" fillId="0" borderId="37" xfId="1" applyNumberFormat="1" applyFont="1" applyBorder="1"/>
    <xf numFmtId="0" fontId="2" fillId="0" borderId="0" xfId="1" applyFont="1" applyAlignment="1">
      <alignment horizontal="center"/>
    </xf>
    <xf numFmtId="0" fontId="7" fillId="0" borderId="40" xfId="1" applyFont="1" applyBorder="1"/>
    <xf numFmtId="164" fontId="2" fillId="0" borderId="38" xfId="1" applyNumberFormat="1" applyFont="1" applyBorder="1" applyAlignment="1">
      <alignment horizontal="center"/>
    </xf>
    <xf numFmtId="3" fontId="2" fillId="0" borderId="40" xfId="1" applyNumberFormat="1" applyFont="1" applyBorder="1"/>
    <xf numFmtId="0" fontId="1" fillId="0" borderId="47" xfId="1" applyFont="1" applyBorder="1"/>
    <xf numFmtId="0" fontId="1" fillId="0" borderId="48" xfId="1" applyFont="1" applyBorder="1"/>
    <xf numFmtId="0" fontId="7" fillId="0" borderId="48" xfId="1" applyFont="1" applyBorder="1"/>
    <xf numFmtId="0" fontId="11" fillId="0" borderId="0" xfId="1" applyFont="1" applyAlignment="1">
      <alignment horizontal="centerContinuous"/>
    </xf>
    <xf numFmtId="0" fontId="2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" fillId="0" borderId="52" xfId="1" applyFont="1" applyBorder="1"/>
    <xf numFmtId="3" fontId="1" fillId="0" borderId="32" xfId="1" applyNumberFormat="1" applyFont="1" applyBorder="1"/>
    <xf numFmtId="3" fontId="1" fillId="0" borderId="53" xfId="1" applyNumberFormat="1" applyFont="1" applyBorder="1"/>
    <xf numFmtId="3" fontId="1" fillId="0" borderId="25" xfId="1" applyNumberFormat="1" applyFont="1" applyBorder="1"/>
    <xf numFmtId="4" fontId="1" fillId="0" borderId="0" xfId="1" applyNumberFormat="1" applyFont="1"/>
    <xf numFmtId="0" fontId="1" fillId="0" borderId="44" xfId="1" applyFont="1" applyBorder="1"/>
    <xf numFmtId="3" fontId="1" fillId="0" borderId="37" xfId="1" applyNumberFormat="1" applyFont="1" applyBorder="1"/>
    <xf numFmtId="3" fontId="1" fillId="0" borderId="12" xfId="1" applyNumberFormat="1" applyFont="1" applyBorder="1"/>
    <xf numFmtId="0" fontId="1" fillId="0" borderId="54" xfId="1" applyFont="1" applyBorder="1"/>
    <xf numFmtId="4" fontId="2" fillId="0" borderId="0" xfId="1" applyNumberFormat="1" applyFont="1"/>
    <xf numFmtId="0" fontId="2" fillId="0" borderId="57" xfId="1" applyFont="1" applyBorder="1" applyAlignment="1">
      <alignment horizontal="centerContinuous"/>
    </xf>
    <xf numFmtId="0" fontId="2" fillId="0" borderId="58" xfId="1" applyFont="1" applyBorder="1" applyAlignment="1">
      <alignment horizontal="centerContinuous"/>
    </xf>
    <xf numFmtId="0" fontId="2" fillId="0" borderId="59" xfId="1" applyFont="1" applyBorder="1" applyAlignment="1">
      <alignment horizontal="centerContinuous"/>
    </xf>
    <xf numFmtId="0" fontId="2" fillId="0" borderId="60" xfId="1" applyFont="1" applyBorder="1" applyAlignment="1">
      <alignment horizontal="centerContinuous"/>
    </xf>
    <xf numFmtId="0" fontId="2" fillId="0" borderId="3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33" xfId="1" applyFont="1" applyBorder="1"/>
    <xf numFmtId="3" fontId="1" fillId="0" borderId="54" xfId="1" applyNumberFormat="1" applyFont="1" applyBorder="1"/>
    <xf numFmtId="0" fontId="1" fillId="0" borderId="54" xfId="1" applyFont="1" applyBorder="1" applyAlignment="1">
      <alignment horizontal="left"/>
    </xf>
    <xf numFmtId="0" fontId="2" fillId="0" borderId="36" xfId="1" applyFont="1" applyBorder="1" applyAlignment="1">
      <alignment horizontal="center" vertical="center"/>
    </xf>
    <xf numFmtId="0" fontId="1" fillId="0" borderId="49" xfId="1" applyFont="1" applyBorder="1"/>
    <xf numFmtId="3" fontId="1" fillId="0" borderId="27" xfId="1" applyNumberFormat="1" applyFont="1" applyBorder="1"/>
    <xf numFmtId="0" fontId="2" fillId="0" borderId="50" xfId="1" applyFont="1" applyBorder="1"/>
    <xf numFmtId="3" fontId="2" fillId="0" borderId="36" xfId="1" applyNumberFormat="1" applyFont="1" applyBorder="1"/>
    <xf numFmtId="3" fontId="2" fillId="0" borderId="51" xfId="1" applyNumberFormat="1" applyFont="1" applyBorder="1"/>
    <xf numFmtId="3" fontId="2" fillId="0" borderId="35" xfId="1" applyNumberFormat="1" applyFont="1" applyBorder="1"/>
    <xf numFmtId="0" fontId="1" fillId="0" borderId="63" xfId="1" applyFont="1" applyBorder="1"/>
    <xf numFmtId="3" fontId="1" fillId="0" borderId="63" xfId="1" applyNumberFormat="1" applyFont="1" applyBorder="1"/>
    <xf numFmtId="0" fontId="2" fillId="0" borderId="36" xfId="1" applyFont="1" applyBorder="1"/>
    <xf numFmtId="0" fontId="3" fillId="0" borderId="33" xfId="1" applyFont="1" applyBorder="1" applyAlignment="1">
      <alignment horizontal="center"/>
    </xf>
    <xf numFmtId="0" fontId="3" fillId="0" borderId="52" xfId="1" applyFont="1" applyBorder="1"/>
    <xf numFmtId="3" fontId="3" fillId="0" borderId="32" xfId="1" applyNumberFormat="1" applyFont="1" applyBorder="1"/>
    <xf numFmtId="3" fontId="3" fillId="0" borderId="53" xfId="1" applyNumberFormat="1" applyFont="1" applyBorder="1"/>
    <xf numFmtId="3" fontId="3" fillId="0" borderId="25" xfId="1" applyNumberFormat="1" applyFont="1" applyBorder="1"/>
    <xf numFmtId="0" fontId="3" fillId="0" borderId="54" xfId="1" applyFont="1" applyBorder="1" applyAlignment="1">
      <alignment horizontal="center"/>
    </xf>
    <xf numFmtId="0" fontId="3" fillId="0" borderId="44" xfId="1" applyFont="1" applyBorder="1"/>
    <xf numFmtId="3" fontId="3" fillId="0" borderId="54" xfId="1" applyNumberFormat="1" applyFont="1" applyBorder="1"/>
    <xf numFmtId="3" fontId="3" fillId="0" borderId="37" xfId="1" applyNumberFormat="1" applyFont="1" applyBorder="1"/>
    <xf numFmtId="3" fontId="3" fillId="0" borderId="12" xfId="1" applyNumberFormat="1" applyFont="1" applyBorder="1"/>
    <xf numFmtId="0" fontId="3" fillId="0" borderId="63" xfId="1" applyFont="1" applyBorder="1" applyAlignment="1">
      <alignment horizontal="center"/>
    </xf>
    <xf numFmtId="0" fontId="3" fillId="0" borderId="49" xfId="1" applyFont="1" applyBorder="1"/>
    <xf numFmtId="3" fontId="3" fillId="0" borderId="63" xfId="1" applyNumberFormat="1" applyFont="1" applyBorder="1"/>
    <xf numFmtId="3" fontId="3" fillId="0" borderId="38" xfId="1" applyNumberFormat="1" applyFont="1" applyBorder="1"/>
    <xf numFmtId="3" fontId="3" fillId="0" borderId="27" xfId="1" applyNumberFormat="1" applyFont="1" applyBorder="1"/>
    <xf numFmtId="0" fontId="3" fillId="0" borderId="36" xfId="1" applyFont="1" applyBorder="1"/>
    <xf numFmtId="0" fontId="12" fillId="0" borderId="50" xfId="1" applyFont="1" applyBorder="1"/>
    <xf numFmtId="3" fontId="12" fillId="0" borderId="36" xfId="1" applyNumberFormat="1" applyFont="1" applyBorder="1"/>
    <xf numFmtId="3" fontId="12" fillId="0" borderId="51" xfId="1" applyNumberFormat="1" applyFont="1" applyBorder="1"/>
    <xf numFmtId="3" fontId="12" fillId="0" borderId="35" xfId="1" applyNumberFormat="1" applyFont="1" applyBorder="1"/>
    <xf numFmtId="0" fontId="2" fillId="0" borderId="40" xfId="1" applyFont="1" applyBorder="1" applyAlignment="1">
      <alignment horizontal="center" vertical="center"/>
    </xf>
    <xf numFmtId="0" fontId="1" fillId="0" borderId="37" xfId="1" applyFont="1" applyBorder="1"/>
    <xf numFmtId="3" fontId="1" fillId="0" borderId="62" xfId="1" applyNumberFormat="1" applyFont="1" applyBorder="1" applyAlignment="1">
      <alignment horizontal="right"/>
    </xf>
    <xf numFmtId="0" fontId="1" fillId="3" borderId="37" xfId="1" applyFont="1" applyFill="1" applyBorder="1"/>
    <xf numFmtId="3" fontId="2" fillId="3" borderId="62" xfId="1" applyNumberFormat="1" applyFont="1" applyFill="1" applyBorder="1" applyAlignment="1">
      <alignment horizontal="right"/>
    </xf>
    <xf numFmtId="3" fontId="2" fillId="0" borderId="62" xfId="1" applyNumberFormat="1" applyFont="1" applyBorder="1" applyAlignment="1">
      <alignment horizontal="right"/>
    </xf>
    <xf numFmtId="3" fontId="2" fillId="3" borderId="64" xfId="1" applyNumberFormat="1" applyFont="1" applyFill="1" applyBorder="1" applyAlignment="1">
      <alignment horizontal="right"/>
    </xf>
    <xf numFmtId="0" fontId="1" fillId="0" borderId="65" xfId="1" applyFont="1" applyBorder="1"/>
    <xf numFmtId="0" fontId="1" fillId="0" borderId="66" xfId="1" applyFont="1" applyBorder="1"/>
    <xf numFmtId="3" fontId="2" fillId="0" borderId="67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1" fillId="0" borderId="0" xfId="1" applyNumberFormat="1" applyFont="1" applyAlignment="1">
      <alignment horizontal="centerContinuous"/>
    </xf>
    <xf numFmtId="3" fontId="2" fillId="0" borderId="0" xfId="1" applyNumberFormat="1" applyFont="1" applyAlignment="1">
      <alignment horizontal="right"/>
    </xf>
    <xf numFmtId="0" fontId="13" fillId="0" borderId="0" xfId="1" applyFont="1"/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/>
    </xf>
    <xf numFmtId="3" fontId="1" fillId="0" borderId="37" xfId="1" applyNumberFormat="1" applyFont="1" applyBorder="1" applyAlignment="1">
      <alignment horizontal="right"/>
    </xf>
    <xf numFmtId="0" fontId="2" fillId="3" borderId="37" xfId="1" applyFont="1" applyFill="1" applyBorder="1"/>
    <xf numFmtId="3" fontId="2" fillId="3" borderId="37" xfId="1" applyNumberFormat="1" applyFont="1" applyFill="1" applyBorder="1" applyAlignment="1">
      <alignment horizontal="right"/>
    </xf>
    <xf numFmtId="0" fontId="2" fillId="0" borderId="37" xfId="1" applyFont="1" applyBorder="1"/>
    <xf numFmtId="3" fontId="2" fillId="0" borderId="37" xfId="1" applyNumberFormat="1" applyFont="1" applyBorder="1" applyAlignment="1">
      <alignment horizontal="right"/>
    </xf>
    <xf numFmtId="0" fontId="1" fillId="0" borderId="37" xfId="1" applyFont="1" applyBorder="1" applyAlignment="1">
      <alignment shrinkToFit="1"/>
    </xf>
    <xf numFmtId="0" fontId="1" fillId="0" borderId="37" xfId="1" applyFont="1" applyBorder="1" applyAlignment="1">
      <alignment horizontal="right"/>
    </xf>
    <xf numFmtId="0" fontId="1" fillId="3" borderId="37" xfId="1" applyFont="1" applyFill="1" applyBorder="1" applyAlignment="1">
      <alignment horizontal="left"/>
    </xf>
    <xf numFmtId="3" fontId="1" fillId="0" borderId="38" xfId="1" applyNumberFormat="1" applyFont="1" applyBorder="1" applyAlignment="1">
      <alignment horizontal="right"/>
    </xf>
    <xf numFmtId="0" fontId="2" fillId="0" borderId="65" xfId="1" applyFont="1" applyBorder="1"/>
    <xf numFmtId="0" fontId="2" fillId="0" borderId="38" xfId="1" applyFont="1" applyBorder="1"/>
    <xf numFmtId="0" fontId="1" fillId="0" borderId="0" xfId="1" applyFont="1" applyAlignment="1">
      <alignment horizontal="right"/>
    </xf>
    <xf numFmtId="3" fontId="2" fillId="0" borderId="62" xfId="1" applyNumberFormat="1" applyFont="1" applyBorder="1" applyAlignment="1">
      <alignment horizontal="center"/>
    </xf>
    <xf numFmtId="3" fontId="1" fillId="0" borderId="68" xfId="1" applyNumberFormat="1" applyFont="1" applyBorder="1" applyAlignment="1">
      <alignment horizontal="right"/>
    </xf>
    <xf numFmtId="3" fontId="2" fillId="0" borderId="68" xfId="1" applyNumberFormat="1" applyFont="1" applyBorder="1" applyAlignment="1">
      <alignment horizontal="right"/>
    </xf>
    <xf numFmtId="3" fontId="2" fillId="0" borderId="37" xfId="1" applyNumberFormat="1" applyFont="1" applyBorder="1" applyAlignment="1">
      <alignment horizontal="centerContinuous"/>
    </xf>
    <xf numFmtId="3" fontId="2" fillId="0" borderId="37" xfId="1" applyNumberFormat="1" applyFont="1" applyBorder="1" applyAlignment="1">
      <alignment horizontal="center" vertical="center" wrapText="1"/>
    </xf>
    <xf numFmtId="3" fontId="2" fillId="0" borderId="37" xfId="1" applyNumberFormat="1" applyFont="1" applyBorder="1" applyAlignment="1">
      <alignment horizontal="center" vertical="center"/>
    </xf>
    <xf numFmtId="0" fontId="2" fillId="0" borderId="74" xfId="1" applyFont="1" applyBorder="1" applyAlignment="1">
      <alignment horizontal="center"/>
    </xf>
    <xf numFmtId="0" fontId="1" fillId="0" borderId="75" xfId="1" applyFont="1" applyBorder="1"/>
    <xf numFmtId="164" fontId="2" fillId="0" borderId="76" xfId="1" applyNumberFormat="1" applyFont="1" applyBorder="1" applyAlignment="1">
      <alignment horizontal="right"/>
    </xf>
    <xf numFmtId="0" fontId="1" fillId="3" borderId="75" xfId="1" applyFont="1" applyFill="1" applyBorder="1"/>
    <xf numFmtId="0" fontId="1" fillId="0" borderId="77" xfId="1" applyFont="1" applyBorder="1"/>
    <xf numFmtId="0" fontId="1" fillId="0" borderId="78" xfId="1" applyFont="1" applyBorder="1"/>
    <xf numFmtId="0" fontId="2" fillId="0" borderId="40" xfId="1" applyFont="1" applyBorder="1"/>
    <xf numFmtId="0" fontId="1" fillId="0" borderId="74" xfId="1" applyFont="1" applyBorder="1"/>
    <xf numFmtId="0" fontId="1" fillId="0" borderId="74" xfId="1" applyFont="1" applyBorder="1" applyAlignment="1">
      <alignment shrinkToFit="1"/>
    </xf>
    <xf numFmtId="0" fontId="1" fillId="3" borderId="75" xfId="1" applyFont="1" applyFill="1" applyBorder="1" applyAlignment="1">
      <alignment horizontal="left"/>
    </xf>
    <xf numFmtId="0" fontId="1" fillId="0" borderId="75" xfId="1" applyFont="1" applyBorder="1" applyAlignment="1">
      <alignment horizontal="left"/>
    </xf>
    <xf numFmtId="0" fontId="1" fillId="0" borderId="42" xfId="1" applyFont="1" applyBorder="1"/>
    <xf numFmtId="49" fontId="1" fillId="0" borderId="37" xfId="2" applyNumberFormat="1" applyFont="1" applyBorder="1" applyAlignment="1">
      <alignment horizontal="left"/>
    </xf>
    <xf numFmtId="3" fontId="2" fillId="0" borderId="79" xfId="1" applyNumberFormat="1" applyFont="1" applyBorder="1" applyAlignment="1">
      <alignment horizontal="center"/>
    </xf>
    <xf numFmtId="3" fontId="2" fillId="0" borderId="80" xfId="1" applyNumberFormat="1" applyFont="1" applyBorder="1" applyAlignment="1">
      <alignment horizontal="center"/>
    </xf>
    <xf numFmtId="3" fontId="1" fillId="0" borderId="79" xfId="1" applyNumberFormat="1" applyFont="1" applyBorder="1" applyAlignment="1">
      <alignment horizontal="right"/>
    </xf>
    <xf numFmtId="3" fontId="1" fillId="0" borderId="80" xfId="1" applyNumberFormat="1" applyFont="1" applyBorder="1" applyAlignment="1">
      <alignment horizontal="right"/>
    </xf>
    <xf numFmtId="3" fontId="2" fillId="0" borderId="81" xfId="1" applyNumberFormat="1" applyFont="1" applyBorder="1" applyAlignment="1">
      <alignment horizontal="right"/>
    </xf>
    <xf numFmtId="3" fontId="2" fillId="0" borderId="76" xfId="1" applyNumberFormat="1" applyFont="1" applyBorder="1" applyAlignment="1">
      <alignment horizontal="right"/>
    </xf>
    <xf numFmtId="3" fontId="2" fillId="0" borderId="79" xfId="1" applyNumberFormat="1" applyFont="1" applyBorder="1" applyAlignment="1">
      <alignment horizontal="right"/>
    </xf>
    <xf numFmtId="3" fontId="2" fillId="0" borderId="80" xfId="1" applyNumberFormat="1" applyFont="1" applyBorder="1" applyAlignment="1">
      <alignment horizontal="right"/>
    </xf>
    <xf numFmtId="3" fontId="2" fillId="3" borderId="79" xfId="1" applyNumberFormat="1" applyFont="1" applyFill="1" applyBorder="1" applyAlignment="1">
      <alignment horizontal="right"/>
    </xf>
    <xf numFmtId="3" fontId="2" fillId="3" borderId="80" xfId="1" applyNumberFormat="1" applyFont="1" applyFill="1" applyBorder="1" applyAlignment="1">
      <alignment horizontal="right"/>
    </xf>
    <xf numFmtId="3" fontId="1" fillId="0" borderId="82" xfId="1" applyNumberFormat="1" applyFont="1" applyBorder="1" applyAlignment="1">
      <alignment horizontal="right"/>
    </xf>
    <xf numFmtId="3" fontId="1" fillId="0" borderId="83" xfId="1" applyNumberFormat="1" applyFont="1" applyBorder="1" applyAlignment="1">
      <alignment horizontal="right"/>
    </xf>
    <xf numFmtId="3" fontId="1" fillId="0" borderId="84" xfId="1" applyNumberFormat="1" applyFont="1" applyBorder="1" applyAlignment="1">
      <alignment horizontal="right"/>
    </xf>
    <xf numFmtId="3" fontId="2" fillId="3" borderId="84" xfId="1" applyNumberFormat="1" applyFont="1" applyFill="1" applyBorder="1" applyAlignment="1">
      <alignment horizontal="right"/>
    </xf>
    <xf numFmtId="3" fontId="2" fillId="3" borderId="85" xfId="1" applyNumberFormat="1" applyFont="1" applyFill="1" applyBorder="1" applyAlignment="1">
      <alignment horizontal="right"/>
    </xf>
    <xf numFmtId="3" fontId="2" fillId="0" borderId="82" xfId="1" applyNumberFormat="1" applyFont="1" applyBorder="1" applyAlignment="1">
      <alignment horizontal="right"/>
    </xf>
    <xf numFmtId="3" fontId="2" fillId="0" borderId="83" xfId="1" applyNumberFormat="1" applyFont="1" applyBorder="1" applyAlignment="1">
      <alignment horizontal="right"/>
    </xf>
    <xf numFmtId="3" fontId="1" fillId="0" borderId="86" xfId="1" applyNumberFormat="1" applyFont="1" applyBorder="1" applyAlignment="1">
      <alignment horizontal="right"/>
    </xf>
    <xf numFmtId="3" fontId="2" fillId="0" borderId="84" xfId="1" applyNumberFormat="1" applyFont="1" applyBorder="1" applyAlignment="1">
      <alignment horizontal="right"/>
    </xf>
    <xf numFmtId="3" fontId="1" fillId="0" borderId="87" xfId="1" applyNumberFormat="1" applyFont="1" applyBorder="1" applyAlignment="1">
      <alignment horizontal="right"/>
    </xf>
    <xf numFmtId="3" fontId="1" fillId="0" borderId="88" xfId="1" applyNumberFormat="1" applyFont="1" applyBorder="1" applyAlignment="1">
      <alignment horizontal="right"/>
    </xf>
    <xf numFmtId="3" fontId="1" fillId="0" borderId="89" xfId="1" applyNumberFormat="1" applyFont="1" applyBorder="1" applyAlignment="1">
      <alignment horizontal="right"/>
    </xf>
    <xf numFmtId="3" fontId="2" fillId="3" borderId="87" xfId="1" applyNumberFormat="1" applyFont="1" applyFill="1" applyBorder="1" applyAlignment="1">
      <alignment horizontal="right"/>
    </xf>
    <xf numFmtId="3" fontId="2" fillId="3" borderId="88" xfId="1" applyNumberFormat="1" applyFont="1" applyFill="1" applyBorder="1" applyAlignment="1">
      <alignment horizontal="right"/>
    </xf>
    <xf numFmtId="3" fontId="2" fillId="3" borderId="89" xfId="1" applyNumberFormat="1" applyFont="1" applyFill="1" applyBorder="1" applyAlignment="1">
      <alignment horizontal="right"/>
    </xf>
    <xf numFmtId="0" fontId="3" fillId="4" borderId="66" xfId="1" applyFont="1" applyFill="1" applyBorder="1"/>
    <xf numFmtId="0" fontId="3" fillId="4" borderId="78" xfId="1" applyFont="1" applyFill="1" applyBorder="1"/>
    <xf numFmtId="3" fontId="12" fillId="4" borderId="81" xfId="1" applyNumberFormat="1" applyFont="1" applyFill="1" applyBorder="1" applyAlignment="1">
      <alignment horizontal="right"/>
    </xf>
    <xf numFmtId="3" fontId="12" fillId="4" borderId="67" xfId="1" applyNumberFormat="1" applyFont="1" applyFill="1" applyBorder="1" applyAlignment="1">
      <alignment horizontal="right"/>
    </xf>
    <xf numFmtId="3" fontId="12" fillId="4" borderId="76" xfId="1" applyNumberFormat="1" applyFont="1" applyFill="1" applyBorder="1" applyAlignment="1">
      <alignment horizontal="right"/>
    </xf>
    <xf numFmtId="3" fontId="2" fillId="4" borderId="37" xfId="1" applyNumberFormat="1" applyFont="1" applyFill="1" applyBorder="1" applyAlignment="1">
      <alignment horizontal="center" vertical="center" wrapText="1"/>
    </xf>
    <xf numFmtId="0" fontId="12" fillId="4" borderId="73" xfId="1" applyFont="1" applyFill="1" applyBorder="1"/>
    <xf numFmtId="0" fontId="1" fillId="0" borderId="0" xfId="3" applyFont="1"/>
    <xf numFmtId="0" fontId="1" fillId="0" borderId="0" xfId="3" applyFont="1" applyAlignment="1">
      <alignment horizontal="centerContinuous"/>
    </xf>
    <xf numFmtId="0" fontId="11" fillId="0" borderId="0" xfId="3" applyFont="1" applyAlignment="1">
      <alignment horizontal="centerContinuous"/>
    </xf>
    <xf numFmtId="0" fontId="2" fillId="0" borderId="34" xfId="3" applyFont="1" applyBorder="1" applyAlignment="1">
      <alignment horizontal="center" vertical="center" wrapText="1"/>
    </xf>
    <xf numFmtId="0" fontId="2" fillId="0" borderId="55" xfId="3" applyFont="1" applyBorder="1" applyAlignment="1">
      <alignment horizontal="center" vertical="center"/>
    </xf>
    <xf numFmtId="0" fontId="1" fillId="0" borderId="33" xfId="3" applyFont="1" applyBorder="1"/>
    <xf numFmtId="0" fontId="1" fillId="0" borderId="52" xfId="3" applyFont="1" applyBorder="1"/>
    <xf numFmtId="3" fontId="1" fillId="0" borderId="32" xfId="3" applyNumberFormat="1" applyFont="1" applyBorder="1"/>
    <xf numFmtId="3" fontId="1" fillId="0" borderId="53" xfId="3" applyNumberFormat="1" applyFont="1" applyBorder="1"/>
    <xf numFmtId="3" fontId="1" fillId="0" borderId="25" xfId="3" applyNumberFormat="1" applyFont="1" applyBorder="1"/>
    <xf numFmtId="166" fontId="1" fillId="0" borderId="0" xfId="3" applyNumberFormat="1" applyFont="1"/>
    <xf numFmtId="0" fontId="1" fillId="0" borderId="54" xfId="3" applyFont="1" applyBorder="1"/>
    <xf numFmtId="0" fontId="1" fillId="0" borderId="44" xfId="3" applyFont="1" applyBorder="1"/>
    <xf numFmtId="3" fontId="1" fillId="0" borderId="54" xfId="3" applyNumberFormat="1" applyFont="1" applyBorder="1"/>
    <xf numFmtId="3" fontId="1" fillId="0" borderId="37" xfId="3" applyNumberFormat="1" applyFont="1" applyBorder="1"/>
    <xf numFmtId="3" fontId="1" fillId="0" borderId="12" xfId="3" applyNumberFormat="1" applyFont="1" applyBorder="1"/>
    <xf numFmtId="4" fontId="1" fillId="0" borderId="0" xfId="3" applyNumberFormat="1" applyFont="1"/>
    <xf numFmtId="3" fontId="1" fillId="0" borderId="0" xfId="3" applyNumberFormat="1" applyFont="1"/>
    <xf numFmtId="0" fontId="1" fillId="0" borderId="54" xfId="3" applyFont="1" applyBorder="1" applyAlignment="1">
      <alignment horizontal="left"/>
    </xf>
    <xf numFmtId="4" fontId="2" fillId="0" borderId="0" xfId="3" applyNumberFormat="1" applyFont="1"/>
    <xf numFmtId="3" fontId="2" fillId="0" borderId="0" xfId="3" applyNumberFormat="1" applyFont="1"/>
    <xf numFmtId="0" fontId="2" fillId="0" borderId="5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" fillId="0" borderId="63" xfId="3" applyFont="1" applyBorder="1"/>
    <xf numFmtId="0" fontId="1" fillId="0" borderId="49" xfId="3" applyFont="1" applyBorder="1"/>
    <xf numFmtId="3" fontId="1" fillId="0" borderId="63" xfId="3" applyNumberFormat="1" applyFont="1" applyBorder="1"/>
    <xf numFmtId="3" fontId="1" fillId="0" borderId="38" xfId="3" applyNumberFormat="1" applyFont="1" applyBorder="1"/>
    <xf numFmtId="3" fontId="1" fillId="0" borderId="27" xfId="3" applyNumberFormat="1" applyFont="1" applyBorder="1"/>
    <xf numFmtId="0" fontId="2" fillId="0" borderId="36" xfId="3" applyFont="1" applyBorder="1"/>
    <xf numFmtId="0" fontId="2" fillId="0" borderId="50" xfId="3" applyFont="1" applyBorder="1"/>
    <xf numFmtId="3" fontId="2" fillId="0" borderId="36" xfId="3" applyNumberFormat="1" applyFont="1" applyBorder="1"/>
    <xf numFmtId="3" fontId="2" fillId="0" borderId="51" xfId="3" applyNumberFormat="1" applyFont="1" applyBorder="1"/>
    <xf numFmtId="3" fontId="2" fillId="0" borderId="35" xfId="3" applyNumberFormat="1" applyFont="1" applyBorder="1"/>
    <xf numFmtId="0" fontId="1" fillId="0" borderId="0" xfId="2" applyFont="1"/>
    <xf numFmtId="1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left"/>
    </xf>
    <xf numFmtId="3" fontId="1" fillId="0" borderId="0" xfId="2" applyNumberFormat="1" applyFont="1"/>
    <xf numFmtId="0" fontId="1" fillId="0" borderId="0" xfId="2" applyFont="1" applyAlignment="1">
      <alignment horizontal="right"/>
    </xf>
    <xf numFmtId="1" fontId="1" fillId="0" borderId="40" xfId="2" applyNumberFormat="1" applyFont="1" applyBorder="1" applyAlignment="1">
      <alignment horizontal="center"/>
    </xf>
    <xf numFmtId="3" fontId="1" fillId="0" borderId="40" xfId="2" applyNumberFormat="1" applyFont="1" applyBorder="1"/>
    <xf numFmtId="1" fontId="1" fillId="0" borderId="37" xfId="2" applyNumberFormat="1" applyFont="1" applyBorder="1" applyAlignment="1">
      <alignment horizontal="center"/>
    </xf>
    <xf numFmtId="3" fontId="1" fillId="0" borderId="37" xfId="2" applyNumberFormat="1" applyFont="1" applyBorder="1"/>
    <xf numFmtId="1" fontId="2" fillId="3" borderId="37" xfId="2" applyNumberFormat="1" applyFont="1" applyFill="1" applyBorder="1" applyAlignment="1">
      <alignment horizontal="left"/>
    </xf>
    <xf numFmtId="1" fontId="1" fillId="3" borderId="37" xfId="2" applyNumberFormat="1" applyFont="1" applyFill="1" applyBorder="1" applyAlignment="1">
      <alignment horizontal="center"/>
    </xf>
    <xf numFmtId="3" fontId="2" fillId="3" borderId="37" xfId="2" applyNumberFormat="1" applyFont="1" applyFill="1" applyBorder="1"/>
    <xf numFmtId="3" fontId="2" fillId="3" borderId="45" xfId="2" applyNumberFormat="1" applyFont="1" applyFill="1" applyBorder="1"/>
    <xf numFmtId="1" fontId="2" fillId="0" borderId="69" xfId="2" applyNumberFormat="1" applyFont="1" applyBorder="1" applyAlignment="1">
      <alignment horizontal="left"/>
    </xf>
    <xf numFmtId="1" fontId="1" fillId="0" borderId="69" xfId="2" applyNumberFormat="1" applyFont="1" applyBorder="1" applyAlignment="1">
      <alignment horizontal="center"/>
    </xf>
    <xf numFmtId="3" fontId="2" fillId="0" borderId="69" xfId="2" applyNumberFormat="1" applyFont="1" applyBorder="1"/>
    <xf numFmtId="1" fontId="1" fillId="0" borderId="71" xfId="2" applyNumberFormat="1" applyFont="1" applyBorder="1" applyAlignment="1">
      <alignment horizontal="center"/>
    </xf>
    <xf numFmtId="3" fontId="2" fillId="0" borderId="71" xfId="2" applyNumberFormat="1" applyFont="1" applyBorder="1"/>
    <xf numFmtId="3" fontId="2" fillId="0" borderId="40" xfId="2" applyNumberFormat="1" applyFont="1" applyBorder="1"/>
    <xf numFmtId="1" fontId="2" fillId="0" borderId="37" xfId="2" applyNumberFormat="1" applyFont="1" applyBorder="1" applyAlignment="1">
      <alignment horizontal="left"/>
    </xf>
    <xf numFmtId="3" fontId="2" fillId="0" borderId="37" xfId="2" applyNumberFormat="1" applyFont="1" applyBorder="1"/>
    <xf numFmtId="1" fontId="1" fillId="0" borderId="65" xfId="2" applyNumberFormat="1" applyFont="1" applyBorder="1" applyAlignment="1">
      <alignment horizontal="center"/>
    </xf>
    <xf numFmtId="3" fontId="2" fillId="0" borderId="65" xfId="2" applyNumberFormat="1" applyFont="1" applyBorder="1"/>
    <xf numFmtId="1" fontId="2" fillId="0" borderId="38" xfId="2" applyNumberFormat="1" applyFont="1" applyBorder="1" applyAlignment="1">
      <alignment horizontal="left"/>
    </xf>
    <xf numFmtId="1" fontId="1" fillId="0" borderId="38" xfId="2" applyNumberFormat="1" applyFont="1" applyBorder="1" applyAlignment="1">
      <alignment horizontal="center"/>
    </xf>
    <xf numFmtId="3" fontId="2" fillId="0" borderId="38" xfId="2" applyNumberFormat="1" applyFont="1" applyBorder="1"/>
    <xf numFmtId="1" fontId="2" fillId="0" borderId="39" xfId="2" applyNumberFormat="1" applyFont="1" applyBorder="1" applyAlignment="1">
      <alignment horizontal="left"/>
    </xf>
    <xf numFmtId="1" fontId="1" fillId="0" borderId="39" xfId="2" applyNumberFormat="1" applyFont="1" applyBorder="1" applyAlignment="1">
      <alignment horizontal="center"/>
    </xf>
    <xf numFmtId="3" fontId="2" fillId="0" borderId="39" xfId="2" applyNumberFormat="1" applyFont="1" applyBorder="1"/>
    <xf numFmtId="1" fontId="2" fillId="0" borderId="71" xfId="2" applyNumberFormat="1" applyFont="1" applyBorder="1" applyAlignment="1">
      <alignment horizontal="left"/>
    </xf>
    <xf numFmtId="1" fontId="3" fillId="4" borderId="65" xfId="2" applyNumberFormat="1" applyFont="1" applyFill="1" applyBorder="1" applyAlignment="1">
      <alignment horizontal="center"/>
    </xf>
    <xf numFmtId="3" fontId="12" fillId="4" borderId="65" xfId="2" applyNumberFormat="1" applyFont="1" applyFill="1" applyBorder="1"/>
    <xf numFmtId="3" fontId="2" fillId="0" borderId="40" xfId="2" applyNumberFormat="1" applyFont="1" applyBorder="1" applyAlignment="1">
      <alignment horizontal="center" vertical="center" wrapText="1"/>
    </xf>
    <xf numFmtId="3" fontId="2" fillId="4" borderId="37" xfId="2" applyNumberFormat="1" applyFont="1" applyFill="1" applyBorder="1" applyAlignment="1">
      <alignment horizontal="center" vertical="center" wrapText="1"/>
    </xf>
    <xf numFmtId="3" fontId="1" fillId="0" borderId="43" xfId="2" applyNumberFormat="1" applyFont="1" applyBorder="1"/>
    <xf numFmtId="3" fontId="2" fillId="0" borderId="45" xfId="2" applyNumberFormat="1" applyFont="1" applyBorder="1"/>
    <xf numFmtId="3" fontId="1" fillId="0" borderId="45" xfId="2" applyNumberFormat="1" applyFont="1" applyBorder="1"/>
    <xf numFmtId="0" fontId="2" fillId="0" borderId="37" xfId="2" applyFont="1" applyBorder="1" applyAlignment="1">
      <alignment horizontal="center"/>
    </xf>
    <xf numFmtId="0" fontId="2" fillId="0" borderId="37" xfId="2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1" fillId="3" borderId="37" xfId="2" applyNumberFormat="1" applyFont="1" applyFill="1" applyBorder="1" applyAlignment="1">
      <alignment horizontal="left"/>
    </xf>
    <xf numFmtId="49" fontId="1" fillId="0" borderId="69" xfId="2" applyNumberFormat="1" applyFont="1" applyBorder="1" applyAlignment="1">
      <alignment horizontal="left"/>
    </xf>
    <xf numFmtId="49" fontId="1" fillId="0" borderId="71" xfId="2" applyNumberFormat="1" applyFont="1" applyBorder="1" applyAlignment="1">
      <alignment horizontal="left"/>
    </xf>
    <xf numFmtId="1" fontId="2" fillId="0" borderId="40" xfId="2" applyNumberFormat="1" applyFont="1" applyBorder="1" applyAlignment="1">
      <alignment horizontal="left"/>
    </xf>
    <xf numFmtId="49" fontId="1" fillId="0" borderId="37" xfId="2" applyNumberFormat="1" applyFont="1" applyBorder="1" applyAlignment="1">
      <alignment horizontal="left" shrinkToFit="1"/>
    </xf>
    <xf numFmtId="1" fontId="2" fillId="0" borderId="65" xfId="2" applyNumberFormat="1" applyFont="1" applyBorder="1" applyAlignment="1">
      <alignment horizontal="left"/>
    </xf>
    <xf numFmtId="49" fontId="1" fillId="0" borderId="65" xfId="2" applyNumberFormat="1" applyFont="1" applyBorder="1" applyAlignment="1">
      <alignment horizontal="left"/>
    </xf>
    <xf numFmtId="49" fontId="1" fillId="0" borderId="38" xfId="2" applyNumberFormat="1" applyFont="1" applyBorder="1" applyAlignment="1">
      <alignment horizontal="left"/>
    </xf>
    <xf numFmtId="49" fontId="1" fillId="0" borderId="39" xfId="2" applyNumberFormat="1" applyFont="1" applyBorder="1" applyAlignment="1">
      <alignment horizontal="left"/>
    </xf>
    <xf numFmtId="3" fontId="2" fillId="3" borderId="44" xfId="2" applyNumberFormat="1" applyFont="1" applyFill="1" applyBorder="1"/>
    <xf numFmtId="3" fontId="1" fillId="0" borderId="52" xfId="2" applyNumberFormat="1" applyFont="1" applyBorder="1"/>
    <xf numFmtId="3" fontId="2" fillId="0" borderId="70" xfId="2" applyNumberFormat="1" applyFont="1" applyBorder="1"/>
    <xf numFmtId="3" fontId="2" fillId="0" borderId="90" xfId="2" applyNumberFormat="1" applyFont="1" applyBorder="1"/>
    <xf numFmtId="3" fontId="2" fillId="0" borderId="72" xfId="2" applyNumberFormat="1" applyFont="1" applyBorder="1"/>
    <xf numFmtId="3" fontId="2" fillId="0" borderId="91" xfId="2" applyNumberFormat="1" applyFont="1" applyBorder="1"/>
    <xf numFmtId="3" fontId="2" fillId="0" borderId="52" xfId="2" applyNumberFormat="1" applyFont="1" applyBorder="1"/>
    <xf numFmtId="3" fontId="2" fillId="0" borderId="43" xfId="2" applyNumberFormat="1" applyFont="1" applyBorder="1"/>
    <xf numFmtId="3" fontId="2" fillId="0" borderId="44" xfId="2" applyNumberFormat="1" applyFont="1" applyBorder="1"/>
    <xf numFmtId="3" fontId="2" fillId="0" borderId="73" xfId="2" applyNumberFormat="1" applyFont="1" applyBorder="1"/>
    <xf numFmtId="3" fontId="2" fillId="0" borderId="78" xfId="2" applyNumberFormat="1" applyFont="1" applyBorder="1"/>
    <xf numFmtId="3" fontId="1" fillId="0" borderId="44" xfId="2" applyNumberFormat="1" applyFont="1" applyBorder="1"/>
    <xf numFmtId="3" fontId="2" fillId="0" borderId="49" xfId="2" applyNumberFormat="1" applyFont="1" applyBorder="1"/>
    <xf numFmtId="3" fontId="2" fillId="0" borderId="41" xfId="2" applyNumberFormat="1" applyFont="1" applyBorder="1"/>
    <xf numFmtId="3" fontId="2" fillId="0" borderId="30" xfId="2" applyNumberFormat="1" applyFont="1" applyBorder="1"/>
    <xf numFmtId="3" fontId="2" fillId="0" borderId="42" xfId="2" applyNumberFormat="1" applyFont="1" applyBorder="1"/>
    <xf numFmtId="1" fontId="12" fillId="4" borderId="65" xfId="2" applyNumberFormat="1" applyFont="1" applyFill="1" applyBorder="1" applyAlignment="1">
      <alignment horizontal="left"/>
    </xf>
    <xf numFmtId="49" fontId="3" fillId="4" borderId="65" xfId="2" applyNumberFormat="1" applyFont="1" applyFill="1" applyBorder="1" applyAlignment="1">
      <alignment horizontal="left"/>
    </xf>
    <xf numFmtId="0" fontId="2" fillId="4" borderId="65" xfId="1" applyFont="1" applyFill="1" applyBorder="1"/>
    <xf numFmtId="0" fontId="1" fillId="4" borderId="65" xfId="1" applyFont="1" applyFill="1" applyBorder="1"/>
    <xf numFmtId="3" fontId="2" fillId="4" borderId="65" xfId="1" applyNumberFormat="1" applyFont="1" applyFill="1" applyBorder="1" applyAlignment="1">
      <alignment horizontal="right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3" fontId="16" fillId="0" borderId="0" xfId="1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6" fontId="0" fillId="0" borderId="0" xfId="0" applyNumberFormat="1"/>
    <xf numFmtId="167" fontId="17" fillId="0" borderId="0" xfId="0" applyNumberFormat="1" applyFont="1"/>
    <xf numFmtId="0" fontId="0" fillId="5" borderId="0" xfId="0" applyFill="1"/>
    <xf numFmtId="166" fontId="0" fillId="5" borderId="0" xfId="0" applyNumberFormat="1" applyFill="1"/>
    <xf numFmtId="167" fontId="0" fillId="5" borderId="0" xfId="0" applyNumberForma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/>
    <xf numFmtId="0" fontId="2" fillId="0" borderId="0" xfId="3" applyFont="1" applyAlignment="1">
      <alignment horizontal="center"/>
    </xf>
    <xf numFmtId="3" fontId="0" fillId="0" borderId="0" xfId="0" applyNumberFormat="1"/>
    <xf numFmtId="0" fontId="1" fillId="0" borderId="45" xfId="1" applyFont="1" applyBorder="1"/>
    <xf numFmtId="3" fontId="1" fillId="0" borderId="92" xfId="1" applyNumberFormat="1" applyFont="1" applyBorder="1" applyAlignment="1">
      <alignment horizontal="right"/>
    </xf>
    <xf numFmtId="3" fontId="1" fillId="0" borderId="93" xfId="1" applyNumberFormat="1" applyFont="1" applyBorder="1" applyAlignment="1">
      <alignment horizontal="right"/>
    </xf>
    <xf numFmtId="3" fontId="1" fillId="0" borderId="94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49" fontId="1" fillId="0" borderId="40" xfId="2" applyNumberFormat="1" applyFont="1" applyBorder="1" applyAlignment="1">
      <alignment horizontal="left" shrinkToFit="1"/>
    </xf>
    <xf numFmtId="0" fontId="0" fillId="0" borderId="0" xfId="0" applyAlignment="1">
      <alignment horizontal="left"/>
    </xf>
    <xf numFmtId="49" fontId="20" fillId="0" borderId="37" xfId="2" applyNumberFormat="1" applyFont="1" applyBorder="1" applyAlignment="1">
      <alignment horizontal="left"/>
    </xf>
    <xf numFmtId="3" fontId="2" fillId="0" borderId="38" xfId="1" applyNumberFormat="1" applyFont="1" applyBorder="1" applyAlignment="1">
      <alignment horizontal="right"/>
    </xf>
    <xf numFmtId="49" fontId="1" fillId="0" borderId="40" xfId="1" applyNumberFormat="1" applyFont="1" applyBorder="1" applyAlignment="1">
      <alignment shrinkToFit="1"/>
    </xf>
    <xf numFmtId="0" fontId="1" fillId="0" borderId="39" xfId="1" applyFont="1" applyBorder="1" applyAlignment="1">
      <alignment horizontal="right" shrinkToFit="1"/>
    </xf>
    <xf numFmtId="3" fontId="17" fillId="0" borderId="0" xfId="0" applyNumberFormat="1" applyFont="1"/>
    <xf numFmtId="3" fontId="18" fillId="5" borderId="0" xfId="0" applyNumberFormat="1" applyFont="1" applyFill="1"/>
    <xf numFmtId="165" fontId="1" fillId="0" borderId="13" xfId="0" applyNumberFormat="1" applyFont="1" applyBorder="1" applyAlignment="1">
      <alignment horizontal="left" shrinkToFit="1"/>
    </xf>
    <xf numFmtId="164" fontId="1" fillId="0" borderId="13" xfId="0" applyNumberFormat="1" applyFont="1" applyBorder="1" applyAlignment="1">
      <alignment horizontal="left" shrinkToFit="1"/>
    </xf>
    <xf numFmtId="0" fontId="1" fillId="3" borderId="45" xfId="1" applyFont="1" applyFill="1" applyBorder="1"/>
    <xf numFmtId="3" fontId="2" fillId="3" borderId="92" xfId="1" applyNumberFormat="1" applyFont="1" applyFill="1" applyBorder="1" applyAlignment="1">
      <alignment horizontal="right"/>
    </xf>
    <xf numFmtId="3" fontId="2" fillId="3" borderId="93" xfId="1" applyNumberFormat="1" applyFont="1" applyFill="1" applyBorder="1" applyAlignment="1">
      <alignment horizontal="right"/>
    </xf>
    <xf numFmtId="3" fontId="2" fillId="3" borderId="94" xfId="1" applyNumberFormat="1" applyFont="1" applyFill="1" applyBorder="1" applyAlignment="1">
      <alignment horizontal="right"/>
    </xf>
    <xf numFmtId="49" fontId="1" fillId="0" borderId="13" xfId="0" applyNumberFormat="1" applyFont="1" applyBorder="1" applyAlignment="1">
      <alignment horizontal="right"/>
    </xf>
    <xf numFmtId="3" fontId="1" fillId="6" borderId="0" xfId="3" applyNumberFormat="1" applyFont="1" applyFill="1"/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2" fillId="0" borderId="49" xfId="1" applyNumberFormat="1" applyFont="1" applyBorder="1" applyAlignment="1">
      <alignment horizontal="center"/>
    </xf>
    <xf numFmtId="164" fontId="2" fillId="0" borderId="41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44" xfId="1" applyNumberFormat="1" applyFont="1" applyBorder="1" applyAlignment="1">
      <alignment horizontal="center"/>
    </xf>
    <xf numFmtId="164" fontId="2" fillId="0" borderId="45" xfId="1" applyNumberFormat="1" applyFont="1" applyBorder="1" applyAlignment="1">
      <alignment horizontal="center"/>
    </xf>
    <xf numFmtId="0" fontId="2" fillId="0" borderId="56" xfId="1" applyFont="1" applyBorder="1" applyAlignment="1">
      <alignment vertical="center"/>
    </xf>
    <xf numFmtId="0" fontId="1" fillId="0" borderId="6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2" fillId="4" borderId="37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2" fillId="4" borderId="3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3" fontId="2" fillId="4" borderId="44" xfId="1" applyNumberFormat="1" applyFont="1" applyFill="1" applyBorder="1" applyAlignment="1">
      <alignment horizontal="center"/>
    </xf>
    <xf numFmtId="3" fontId="2" fillId="4" borderId="46" xfId="1" applyNumberFormat="1" applyFont="1" applyFill="1" applyBorder="1" applyAlignment="1">
      <alignment horizontal="center"/>
    </xf>
    <xf numFmtId="3" fontId="2" fillId="4" borderId="45" xfId="1" applyNumberFormat="1" applyFont="1" applyFill="1" applyBorder="1" applyAlignment="1">
      <alignment horizontal="center"/>
    </xf>
    <xf numFmtId="0" fontId="2" fillId="0" borderId="56" xfId="3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60" xfId="3" applyFont="1" applyBorder="1" applyAlignment="1">
      <alignment horizontal="center"/>
    </xf>
    <xf numFmtId="3" fontId="2" fillId="4" borderId="37" xfId="2" applyNumberFormat="1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 vertical="center" wrapText="1"/>
    </xf>
    <xf numFmtId="0" fontId="1" fillId="4" borderId="37" xfId="1" applyFont="1" applyFill="1" applyBorder="1" applyAlignment="1">
      <alignment vertical="center" wrapText="1"/>
    </xf>
    <xf numFmtId="0" fontId="2" fillId="4" borderId="37" xfId="2" applyFont="1" applyFill="1" applyBorder="1" applyAlignment="1">
      <alignment horizontal="center" vertical="center"/>
    </xf>
  </cellXfs>
  <cellStyles count="5">
    <cellStyle name="Normální" xfId="0" builtinId="0"/>
    <cellStyle name="Normální 2" xfId="1" xr:uid="{00000000-0005-0000-0000-000001000000}"/>
    <cellStyle name="Normální 3" xfId="4" xr:uid="{00000000-0005-0000-0000-000002000000}"/>
    <cellStyle name="normální_Příjmy město oddíly SR 2000" xfId="3" xr:uid="{00000000-0005-0000-0000-000003000000}"/>
    <cellStyle name="normální_Výdaje SR 200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PŘÍJMY STATUTÁRNÍHO MĚSTA BRNA - SCHVÁLENÝ ROZPOČET 2024</a:t>
            </a:r>
          </a:p>
          <a:p>
            <a:pPr>
              <a:defRPr>
                <a:latin typeface="+mj-lt"/>
              </a:defRPr>
            </a:pPr>
            <a:r>
              <a:rPr lang="cs-CZ" sz="1200">
                <a:latin typeface="+mj-lt"/>
              </a:rPr>
              <a:t>(MIL. KČ)</a:t>
            </a:r>
          </a:p>
        </c:rich>
      </c:tx>
      <c:layout>
        <c:manualLayout>
          <c:xMode val="edge"/>
          <c:yMode val="edge"/>
          <c:x val="0.14123161138381241"/>
          <c:y val="2.989536621823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2878415162441354E-2"/>
          <c:y val="0.15304191236185166"/>
          <c:w val="0.90619909315900415"/>
          <c:h val="0.77206525193319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16255.358</c:v>
                </c:pt>
                <c:pt idx="1">
                  <c:v>1058.8219999999999</c:v>
                </c:pt>
                <c:pt idx="2">
                  <c:v>471.15</c:v>
                </c:pt>
                <c:pt idx="3">
                  <c:v>1900.4749999999999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211-8BD6-58E2AFBA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167073488"/>
        <c:axId val="167073880"/>
      </c:barChart>
      <c:catAx>
        <c:axId val="16707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73880"/>
        <c:crosses val="autoZero"/>
        <c:auto val="1"/>
        <c:lblAlgn val="ctr"/>
        <c:lblOffset val="100"/>
        <c:noMultiLvlLbl val="0"/>
      </c:catAx>
      <c:valAx>
        <c:axId val="16707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7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PŘÍJMY STATUTÁRNÍHO MĚSTA BRNA - SCHVÁLENÝ ROZPOČET 2024</a:t>
            </a:r>
            <a:endParaRPr lang="cs-CZ" sz="14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13500472440944883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5663352080989871"/>
          <c:y val="0.19409691629955947"/>
          <c:w val="0.48292358455193096"/>
          <c:h val="0.744595835212228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20-451C-B58F-B72785BAFB4C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20-451C-B58F-B72785BAFB4C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20-451C-B58F-B72785BAFB4C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20-451C-B58F-B72785BAFB4C}"/>
              </c:ext>
            </c:extLst>
          </c:dPt>
          <c:dLbls>
            <c:dLbl>
              <c:idx val="0"/>
              <c:layout>
                <c:manualLayout>
                  <c:x val="1.3333333333333334E-2"/>
                  <c:y val="-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20-451C-B58F-B72785BAFB4C}"/>
                </c:ext>
              </c:extLst>
            </c:dLbl>
            <c:dLbl>
              <c:idx val="1"/>
              <c:layout>
                <c:manualLayout>
                  <c:x val="-7.6190476190476104E-3"/>
                  <c:y val="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20-451C-B58F-B72785BAFB4C}"/>
                </c:ext>
              </c:extLst>
            </c:dLbl>
            <c:dLbl>
              <c:idx val="2"/>
              <c:layout>
                <c:manualLayout>
                  <c:x val="9.5238095238095247E-3"/>
                  <c:y val="1.7621145374449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20-451C-B58F-B72785BAFB4C}"/>
                </c:ext>
              </c:extLst>
            </c:dLbl>
            <c:dLbl>
              <c:idx val="3"/>
              <c:layout>
                <c:manualLayout>
                  <c:x val="1.9047619047619011E-2"/>
                  <c:y val="1.76211453744493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20-451C-B58F-B72785BAF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16255.358</c:v>
                </c:pt>
                <c:pt idx="1">
                  <c:v>1058.8219999999999</c:v>
                </c:pt>
                <c:pt idx="2">
                  <c:v>471.15</c:v>
                </c:pt>
                <c:pt idx="3">
                  <c:v>1900.4749999999999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20-451C-B58F-B72785BAFB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CELKOVÉ VÝDAJE STATUTÁRNÍHO MĚSTA BRNA</a:t>
            </a:r>
          </a:p>
          <a:p>
            <a:pPr algn="ctr">
              <a:defRPr>
                <a:latin typeface="+mj-lt"/>
              </a:defRPr>
            </a:pPr>
            <a:r>
              <a:rPr lang="cs-CZ" sz="1400" b="0" i="0" baseline="0">
                <a:effectLst/>
                <a:latin typeface="+mj-lt"/>
              </a:rPr>
              <a:t>SCHVÁLENÝ ROZPOČET 2024 </a:t>
            </a:r>
            <a:r>
              <a:rPr lang="cs-CZ" sz="1200" b="0" i="0" baseline="0">
                <a:effectLst/>
                <a:latin typeface="+mj-lt"/>
              </a:rPr>
              <a:t>(MIL. KČ)</a:t>
            </a:r>
            <a:endParaRPr lang="cs-CZ" sz="12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4421894843789688"/>
          <c:y val="1.7587891241805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914994725794595"/>
          <c:y val="0.16353869023002976"/>
          <c:w val="0.6319298394152344"/>
          <c:h val="0.742329010378825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Grafy_vydaje!$M$2:$M$14</c:f>
              <c:strCache>
                <c:ptCount val="13"/>
                <c:pt idx="0">
                  <c:v> Zdravotnictví</c:v>
                </c:pt>
                <c:pt idx="1">
                  <c:v> Bezpečnost a veřejný pořádek</c:v>
                </c:pt>
                <c:pt idx="2">
                  <c:v> Ostatní výdaje</c:v>
                </c:pt>
                <c:pt idx="3">
                  <c:v> Finanční operace *)</c:v>
                </c:pt>
                <c:pt idx="4">
                  <c:v> Soc. služby a spol. činnosti v soc. zab.</c:v>
                </c:pt>
                <c:pt idx="5">
                  <c:v> Vodní hospodářství</c:v>
                </c:pt>
                <c:pt idx="6">
                  <c:v> Vzdělávání a školské služby</c:v>
                </c:pt>
                <c:pt idx="7">
                  <c:v> Ochrana životního prostředí</c:v>
                </c:pt>
                <c:pt idx="8">
                  <c:v> Sport a zájmová činnost</c:v>
                </c:pt>
                <c:pt idx="9">
                  <c:v> Kultura, církve a sdělovací prostředky</c:v>
                </c:pt>
                <c:pt idx="10">
                  <c:v> Bydlení, komunální služ. a územ. rozvoj</c:v>
                </c:pt>
                <c:pt idx="11">
                  <c:v> Státní správa a územní samospráva</c:v>
                </c:pt>
                <c:pt idx="12">
                  <c:v> Doprava</c:v>
                </c:pt>
              </c:strCache>
            </c:strRef>
          </c:cat>
          <c:val>
            <c:numRef>
              <c:f>Grafy_vydaje!$N$2:$N$14</c:f>
              <c:numCache>
                <c:formatCode>#\ ##0.0</c:formatCode>
                <c:ptCount val="13"/>
                <c:pt idx="0">
                  <c:v>359.42700000000002</c:v>
                </c:pt>
                <c:pt idx="1">
                  <c:v>565.64599999999996</c:v>
                </c:pt>
                <c:pt idx="2">
                  <c:v>643.70899999999983</c:v>
                </c:pt>
                <c:pt idx="3">
                  <c:v>684.94</c:v>
                </c:pt>
                <c:pt idx="4">
                  <c:v>955.75599999999997</c:v>
                </c:pt>
                <c:pt idx="5">
                  <c:v>998.77499999999998</c:v>
                </c:pt>
                <c:pt idx="6">
                  <c:v>1167.712</c:v>
                </c:pt>
                <c:pt idx="7">
                  <c:v>1223.355</c:v>
                </c:pt>
                <c:pt idx="8">
                  <c:v>1794.5039999999999</c:v>
                </c:pt>
                <c:pt idx="9">
                  <c:v>2057.4690000000001</c:v>
                </c:pt>
                <c:pt idx="10">
                  <c:v>2286.8890000000001</c:v>
                </c:pt>
                <c:pt idx="11">
                  <c:v>2824.4749999999999</c:v>
                </c:pt>
                <c:pt idx="12">
                  <c:v>5843.04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DC8-A5EF-88CDF0C9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5069312"/>
        <c:axId val="255069704"/>
      </c:barChart>
      <c:catAx>
        <c:axId val="25506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69704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55069704"/>
        <c:scaling>
          <c:orientation val="minMax"/>
          <c:max val="6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6931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>
                <a:latin typeface="+mj-lt"/>
              </a:rPr>
              <a:t>CELKOVÉ</a:t>
            </a:r>
            <a:r>
              <a:rPr lang="cs-CZ" sz="1400" baseline="0">
                <a:latin typeface="+mj-lt"/>
              </a:rPr>
              <a:t> VÝDAJE STATUTÁRNÍHO MĚSTA BRNA V ČLENĚNÍ NA VÝDAJE MĚSTA A MĚSTSKÝCH ČÁSTÍ - SCHVÁLENÝ ROZPOČET 2024 </a:t>
            </a:r>
            <a:r>
              <a:rPr lang="cs-CZ" sz="1200" baseline="0">
                <a:latin typeface="+mj-lt"/>
              </a:rPr>
              <a:t>(MIL. KČ)</a:t>
            </a:r>
            <a:endParaRPr lang="cs-CZ" sz="1200">
              <a:latin typeface="+mj-lt"/>
            </a:endParaRPr>
          </a:p>
        </c:rich>
      </c:tx>
      <c:layout>
        <c:manualLayout>
          <c:xMode val="edge"/>
          <c:yMode val="edge"/>
          <c:x val="0.10731971341420159"/>
          <c:y val="1.083076345079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971554231396752E-2"/>
          <c:y val="0.13471506916506215"/>
          <c:w val="0.89382123856139606"/>
          <c:h val="0.541108623847466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Grafy_vydaje!$O$19</c:f>
              <c:strCache>
                <c:ptCount val="1"/>
                <c:pt idx="0">
                  <c:v> MĚSTO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cat>
            <c:strRef>
              <c:f>Grafy_vydaje!$M$20:$M$32</c:f>
              <c:strCache>
                <c:ptCount val="13"/>
                <c:pt idx="0">
                  <c:v> Doprava</c:v>
                </c:pt>
                <c:pt idx="1">
                  <c:v> Státní správa a územní samospráva</c:v>
                </c:pt>
                <c:pt idx="2">
                  <c:v> Bydlení, komunální služ. a územ. rozvoj</c:v>
                </c:pt>
                <c:pt idx="3">
                  <c:v> Kultura, církve a sdělovací prostředky</c:v>
                </c:pt>
                <c:pt idx="4">
                  <c:v> Sport a zájmová činnost</c:v>
                </c:pt>
                <c:pt idx="5">
                  <c:v> Ochrana životního prostředí</c:v>
                </c:pt>
                <c:pt idx="6">
                  <c:v> Vzdělávání a školské služby</c:v>
                </c:pt>
                <c:pt idx="7">
                  <c:v> Vodní hospodářství</c:v>
                </c:pt>
                <c:pt idx="8">
                  <c:v> Soc. služby a spol. činnosti v soc. zab.</c:v>
                </c:pt>
                <c:pt idx="9">
                  <c:v> Finanční operace *)</c:v>
                </c:pt>
                <c:pt idx="10">
                  <c:v> Ostatní výdaje</c:v>
                </c:pt>
                <c:pt idx="11">
                  <c:v> Bezpečnost a veřejný pořádek</c:v>
                </c:pt>
                <c:pt idx="12">
                  <c:v> Zdravotnictví</c:v>
                </c:pt>
              </c:strCache>
            </c:strRef>
          </c:cat>
          <c:val>
            <c:numRef>
              <c:f>Grafy_vydaje!$O$20:$O$32</c:f>
              <c:numCache>
                <c:formatCode>#\ ##0.0</c:formatCode>
                <c:ptCount val="13"/>
                <c:pt idx="0">
                  <c:v>5462.3</c:v>
                </c:pt>
                <c:pt idx="1">
                  <c:v>1595.383</c:v>
                </c:pt>
                <c:pt idx="2">
                  <c:v>1371.6959999999999</c:v>
                </c:pt>
                <c:pt idx="3">
                  <c:v>1924.433</c:v>
                </c:pt>
                <c:pt idx="4">
                  <c:v>1673.8040000000001</c:v>
                </c:pt>
                <c:pt idx="5">
                  <c:v>775.77200000000005</c:v>
                </c:pt>
                <c:pt idx="6">
                  <c:v>153.834</c:v>
                </c:pt>
                <c:pt idx="7">
                  <c:v>992.03300000000002</c:v>
                </c:pt>
                <c:pt idx="8">
                  <c:v>923.99099999999999</c:v>
                </c:pt>
                <c:pt idx="9">
                  <c:v>3230.1660000000002</c:v>
                </c:pt>
                <c:pt idx="10">
                  <c:v>449.90399999999988</c:v>
                </c:pt>
                <c:pt idx="11">
                  <c:v>560.21100000000001</c:v>
                </c:pt>
                <c:pt idx="12">
                  <c:v>334.32299999999998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8-463D-98DD-EE7CAFDD6710}"/>
            </c:ext>
          </c:extLst>
        </c:ser>
        <c:ser>
          <c:idx val="2"/>
          <c:order val="2"/>
          <c:tx>
            <c:strRef>
              <c:f>Grafy_vydaje!$P$19</c:f>
              <c:strCache>
                <c:ptCount val="1"/>
                <c:pt idx="0">
                  <c:v> MČ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Grafy_vydaje!$M$20:$M$32</c:f>
              <c:strCache>
                <c:ptCount val="13"/>
                <c:pt idx="0">
                  <c:v> Doprava</c:v>
                </c:pt>
                <c:pt idx="1">
                  <c:v> Státní správa a územní samospráva</c:v>
                </c:pt>
                <c:pt idx="2">
                  <c:v> Bydlení, komunální služ. a územ. rozvoj</c:v>
                </c:pt>
                <c:pt idx="3">
                  <c:v> Kultura, církve a sdělovací prostředky</c:v>
                </c:pt>
                <c:pt idx="4">
                  <c:v> Sport a zájmová činnost</c:v>
                </c:pt>
                <c:pt idx="5">
                  <c:v> Ochrana životního prostředí</c:v>
                </c:pt>
                <c:pt idx="6">
                  <c:v> Vzdělávání a školské služby</c:v>
                </c:pt>
                <c:pt idx="7">
                  <c:v> Vodní hospodářství</c:v>
                </c:pt>
                <c:pt idx="8">
                  <c:v> Soc. služby a spol. činnosti v soc. zab.</c:v>
                </c:pt>
                <c:pt idx="9">
                  <c:v> Finanční operace *)</c:v>
                </c:pt>
                <c:pt idx="10">
                  <c:v> Ostatní výdaje</c:v>
                </c:pt>
                <c:pt idx="11">
                  <c:v> Bezpečnost a veřejný pořádek</c:v>
                </c:pt>
                <c:pt idx="12">
                  <c:v> Zdravotnictví</c:v>
                </c:pt>
              </c:strCache>
            </c:strRef>
          </c:cat>
          <c:val>
            <c:numRef>
              <c:f>Grafy_vydaje!$P$20:$P$32</c:f>
              <c:numCache>
                <c:formatCode>#\ ##0.0</c:formatCode>
                <c:ptCount val="13"/>
                <c:pt idx="0">
                  <c:v>380.74</c:v>
                </c:pt>
                <c:pt idx="1">
                  <c:v>1229.0920000000001</c:v>
                </c:pt>
                <c:pt idx="2">
                  <c:v>915.19299999999998</c:v>
                </c:pt>
                <c:pt idx="3">
                  <c:v>133.036</c:v>
                </c:pt>
                <c:pt idx="4">
                  <c:v>120.7</c:v>
                </c:pt>
                <c:pt idx="5">
                  <c:v>447.58300000000003</c:v>
                </c:pt>
                <c:pt idx="6">
                  <c:v>1013.878</c:v>
                </c:pt>
                <c:pt idx="7">
                  <c:v>6.742</c:v>
                </c:pt>
                <c:pt idx="8">
                  <c:v>31.765000000000001</c:v>
                </c:pt>
                <c:pt idx="9">
                  <c:v>96.53</c:v>
                </c:pt>
                <c:pt idx="10">
                  <c:v>193.80500000000001</c:v>
                </c:pt>
                <c:pt idx="11">
                  <c:v>5.4349999999999996</c:v>
                </c:pt>
                <c:pt idx="12">
                  <c:v>25.103999999999999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255070488"/>
        <c:axId val="255070880"/>
      </c:barChart>
      <c:lineChart>
        <c:grouping val="stacked"/>
        <c:varyColors val="0"/>
        <c:ser>
          <c:idx val="0"/>
          <c:order val="0"/>
          <c:tx>
            <c:strRef>
              <c:f>Grafy_vydaje!$N$19</c:f>
              <c:strCache>
                <c:ptCount val="1"/>
                <c:pt idx="0">
                  <c:v> SMB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22225">
                <a:solidFill>
                  <a:srgbClr val="C00000"/>
                </a:solidFill>
              </a:ln>
              <a:effectLst/>
            </c:spPr>
          </c:marker>
          <c:cat>
            <c:strRef>
              <c:f>Grafy_vydaje!$M$20:$M$32</c:f>
              <c:strCache>
                <c:ptCount val="13"/>
                <c:pt idx="0">
                  <c:v> Doprava</c:v>
                </c:pt>
                <c:pt idx="1">
                  <c:v> Státní správa a územní samospráva</c:v>
                </c:pt>
                <c:pt idx="2">
                  <c:v> Bydlení, komunální služ. a územ. rozvoj</c:v>
                </c:pt>
                <c:pt idx="3">
                  <c:v> Kultura, církve a sdělovací prostředky</c:v>
                </c:pt>
                <c:pt idx="4">
                  <c:v> Sport a zájmová činnost</c:v>
                </c:pt>
                <c:pt idx="5">
                  <c:v> Ochrana životního prostředí</c:v>
                </c:pt>
                <c:pt idx="6">
                  <c:v> Vzdělávání a školské služby</c:v>
                </c:pt>
                <c:pt idx="7">
                  <c:v> Vodní hospodářství</c:v>
                </c:pt>
                <c:pt idx="8">
                  <c:v> Soc. služby a spol. činnosti v soc. zab.</c:v>
                </c:pt>
                <c:pt idx="9">
                  <c:v> Finanční operace *)</c:v>
                </c:pt>
                <c:pt idx="10">
                  <c:v> Ostatní výdaje</c:v>
                </c:pt>
                <c:pt idx="11">
                  <c:v> Bezpečnost a veřejný pořádek</c:v>
                </c:pt>
                <c:pt idx="12">
                  <c:v> Zdravotnictví</c:v>
                </c:pt>
              </c:strCache>
            </c:strRef>
          </c:cat>
          <c:val>
            <c:numRef>
              <c:f>Grafy_vydaje!$N$20:$N$32</c:f>
              <c:numCache>
                <c:formatCode>#\ ##0.0</c:formatCode>
                <c:ptCount val="13"/>
                <c:pt idx="0">
                  <c:v>5843.04</c:v>
                </c:pt>
                <c:pt idx="1">
                  <c:v>2824.4749999999999</c:v>
                </c:pt>
                <c:pt idx="2">
                  <c:v>2286.8890000000001</c:v>
                </c:pt>
                <c:pt idx="3">
                  <c:v>2057.4690000000001</c:v>
                </c:pt>
                <c:pt idx="4">
                  <c:v>1794.5039999999999</c:v>
                </c:pt>
                <c:pt idx="5">
                  <c:v>1223.355</c:v>
                </c:pt>
                <c:pt idx="6">
                  <c:v>1167.712</c:v>
                </c:pt>
                <c:pt idx="7">
                  <c:v>998.77499999999998</c:v>
                </c:pt>
                <c:pt idx="8">
                  <c:v>955.75599999999997</c:v>
                </c:pt>
                <c:pt idx="9">
                  <c:v>684.94</c:v>
                </c:pt>
                <c:pt idx="10">
                  <c:v>643.70899999999983</c:v>
                </c:pt>
                <c:pt idx="11">
                  <c:v>565.64599999999996</c:v>
                </c:pt>
                <c:pt idx="12">
                  <c:v>359.42700000000002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70488"/>
        <c:axId val="255070880"/>
      </c:lineChart>
      <c:catAx>
        <c:axId val="25507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70880"/>
        <c:crosses val="autoZero"/>
        <c:auto val="1"/>
        <c:lblAlgn val="ctr"/>
        <c:lblOffset val="100"/>
        <c:noMultiLvlLbl val="0"/>
      </c:catAx>
      <c:valAx>
        <c:axId val="255070880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7048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65627041214442794"/>
          <c:y val="0.16225317989097518"/>
          <c:w val="0.1429699936156629"/>
          <c:h val="0.138253995831954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581025</xdr:colOff>
      <xdr:row>26</xdr:row>
      <xdr:rowOff>38101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10</xdr:col>
      <xdr:colOff>571500</xdr:colOff>
      <xdr:row>55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11</xdr:col>
      <xdr:colOff>0</xdr:colOff>
      <xdr:row>25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76201</xdr:rowOff>
    </xdr:from>
    <xdr:to>
      <xdr:col>5</xdr:col>
      <xdr:colOff>523875</xdr:colOff>
      <xdr:row>25</xdr:row>
      <xdr:rowOff>142876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39624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10</xdr:col>
      <xdr:colOff>952500</xdr:colOff>
      <xdr:row>57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56</xdr:row>
      <xdr:rowOff>76201</xdr:rowOff>
    </xdr:from>
    <xdr:to>
      <xdr:col>9</xdr:col>
      <xdr:colOff>323850</xdr:colOff>
      <xdr:row>57</xdr:row>
      <xdr:rowOff>142876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238375" y="91440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tabSelected="1" zoomScaleNormal="100" zoomScaleSheetLayoutView="100" workbookViewId="0">
      <selection activeCell="C14" sqref="C14"/>
    </sheetView>
  </sheetViews>
  <sheetFormatPr defaultRowHeight="12.75" x14ac:dyDescent="0.2"/>
  <cols>
    <col min="1" max="1" width="3.42578125" bestFit="1" customWidth="1"/>
    <col min="2" max="2" width="19.5703125" customWidth="1"/>
    <col min="3" max="3" width="64.42578125" customWidth="1"/>
    <col min="4" max="4" width="15.5703125" customWidth="1"/>
    <col min="5" max="5" width="13.5703125" customWidth="1"/>
    <col min="6" max="6" width="14" customWidth="1"/>
    <col min="12" max="12" width="8.28515625" customWidth="1"/>
  </cols>
  <sheetData>
    <row r="1" spans="1:6" ht="21" x14ac:dyDescent="0.35">
      <c r="A1" s="397" t="s">
        <v>0</v>
      </c>
      <c r="B1" s="397"/>
      <c r="C1" s="397"/>
      <c r="D1" s="397"/>
      <c r="E1" s="397"/>
      <c r="F1" s="397"/>
    </row>
    <row r="2" spans="1:6" ht="13.5" thickBot="1" x14ac:dyDescent="0.25">
      <c r="A2" s="1"/>
      <c r="B2" s="1"/>
      <c r="C2" s="2"/>
      <c r="D2" s="2"/>
      <c r="E2" s="3"/>
      <c r="F2" s="3"/>
    </row>
    <row r="3" spans="1:6" ht="13.5" thickBot="1" x14ac:dyDescent="0.25">
      <c r="A3" s="4"/>
      <c r="B3" s="5" t="s">
        <v>1</v>
      </c>
      <c r="C3" s="403" t="s">
        <v>4</v>
      </c>
      <c r="D3" s="400" t="s">
        <v>443</v>
      </c>
      <c r="E3" s="401"/>
      <c r="F3" s="402"/>
    </row>
    <row r="4" spans="1:6" x14ac:dyDescent="0.2">
      <c r="A4" s="6" t="s">
        <v>2</v>
      </c>
      <c r="B4" s="7" t="s">
        <v>3</v>
      </c>
      <c r="C4" s="404"/>
      <c r="D4" s="398" t="s">
        <v>80</v>
      </c>
      <c r="E4" s="398" t="s">
        <v>6</v>
      </c>
      <c r="F4" s="398" t="s">
        <v>7</v>
      </c>
    </row>
    <row r="5" spans="1:6" ht="13.5" thickBot="1" x14ac:dyDescent="0.25">
      <c r="A5" s="8"/>
      <c r="B5" s="9" t="s">
        <v>5</v>
      </c>
      <c r="C5" s="405"/>
      <c r="D5" s="399"/>
      <c r="E5" s="399"/>
      <c r="F5" s="399"/>
    </row>
    <row r="6" spans="1:6" x14ac:dyDescent="0.2">
      <c r="A6" s="10">
        <v>1</v>
      </c>
      <c r="B6" s="11">
        <v>1111</v>
      </c>
      <c r="C6" s="12" t="s">
        <v>355</v>
      </c>
      <c r="D6" s="13">
        <f t="shared" ref="D6:D11" si="0">+E6+F6</f>
        <v>2570000</v>
      </c>
      <c r="E6" s="13">
        <v>2570000</v>
      </c>
      <c r="F6" s="13"/>
    </row>
    <row r="7" spans="1:6" x14ac:dyDescent="0.2">
      <c r="A7" s="14">
        <v>2</v>
      </c>
      <c r="B7" s="15">
        <v>1112</v>
      </c>
      <c r="C7" s="16" t="s">
        <v>356</v>
      </c>
      <c r="D7" s="17">
        <f t="shared" si="0"/>
        <v>180000</v>
      </c>
      <c r="E7" s="18">
        <v>180000</v>
      </c>
      <c r="F7" s="18"/>
    </row>
    <row r="8" spans="1:6" x14ac:dyDescent="0.2">
      <c r="A8" s="10">
        <v>3</v>
      </c>
      <c r="B8" s="15">
        <v>1113</v>
      </c>
      <c r="C8" s="16" t="s">
        <v>357</v>
      </c>
      <c r="D8" s="17">
        <f t="shared" si="0"/>
        <v>490000</v>
      </c>
      <c r="E8" s="18">
        <v>490000</v>
      </c>
      <c r="F8" s="18"/>
    </row>
    <row r="9" spans="1:6" x14ac:dyDescent="0.2">
      <c r="A9" s="14">
        <v>4</v>
      </c>
      <c r="B9" s="15">
        <v>1121</v>
      </c>
      <c r="C9" s="16" t="s">
        <v>358</v>
      </c>
      <c r="D9" s="17">
        <f t="shared" si="0"/>
        <v>4010000</v>
      </c>
      <c r="E9" s="18">
        <v>4010000</v>
      </c>
      <c r="F9" s="18"/>
    </row>
    <row r="10" spans="1:6" x14ac:dyDescent="0.2">
      <c r="A10" s="10">
        <v>5</v>
      </c>
      <c r="B10" s="15">
        <v>1211</v>
      </c>
      <c r="C10" s="16" t="s">
        <v>359</v>
      </c>
      <c r="D10" s="17">
        <f t="shared" si="0"/>
        <v>7600000</v>
      </c>
      <c r="E10" s="18">
        <v>7600000</v>
      </c>
      <c r="F10" s="18"/>
    </row>
    <row r="11" spans="1:6" x14ac:dyDescent="0.2">
      <c r="A11" s="14">
        <v>6</v>
      </c>
      <c r="B11" s="15">
        <v>1511</v>
      </c>
      <c r="C11" s="19" t="s">
        <v>360</v>
      </c>
      <c r="D11" s="17">
        <f t="shared" si="0"/>
        <v>450000</v>
      </c>
      <c r="E11" s="18">
        <v>450000</v>
      </c>
      <c r="F11" s="18"/>
    </row>
    <row r="12" spans="1:6" ht="13.5" thickBot="1" x14ac:dyDescent="0.25">
      <c r="A12" s="10">
        <v>7</v>
      </c>
      <c r="B12" s="20"/>
      <c r="C12" s="21" t="s">
        <v>8</v>
      </c>
      <c r="D12" s="22">
        <f>SUM(D6:D11)</f>
        <v>15300000</v>
      </c>
      <c r="E12" s="23">
        <f>SUM(E6:E11)</f>
        <v>15300000</v>
      </c>
      <c r="F12" s="23"/>
    </row>
    <row r="13" spans="1:6" x14ac:dyDescent="0.2">
      <c r="A13" s="14">
        <v>8</v>
      </c>
      <c r="B13" s="15">
        <v>1122</v>
      </c>
      <c r="C13" s="16" t="s">
        <v>464</v>
      </c>
      <c r="D13" s="17">
        <f t="shared" ref="D13:D19" si="1">+E13+F13</f>
        <v>83493</v>
      </c>
      <c r="E13" s="18"/>
      <c r="F13" s="24">
        <v>83493</v>
      </c>
    </row>
    <row r="14" spans="1:6" x14ac:dyDescent="0.2">
      <c r="A14" s="10">
        <v>9</v>
      </c>
      <c r="B14" s="15">
        <v>1122</v>
      </c>
      <c r="C14" s="16" t="s">
        <v>361</v>
      </c>
      <c r="D14" s="17">
        <f t="shared" si="1"/>
        <v>270126</v>
      </c>
      <c r="E14" s="18">
        <v>250000</v>
      </c>
      <c r="F14" s="24">
        <v>20126</v>
      </c>
    </row>
    <row r="15" spans="1:6" x14ac:dyDescent="0.2">
      <c r="A15" s="14">
        <v>10</v>
      </c>
      <c r="B15" s="25" t="s">
        <v>10</v>
      </c>
      <c r="C15" s="26" t="s">
        <v>362</v>
      </c>
      <c r="D15" s="17">
        <f t="shared" si="1"/>
        <v>2545</v>
      </c>
      <c r="E15" s="18">
        <v>2545</v>
      </c>
      <c r="F15" s="24"/>
    </row>
    <row r="16" spans="1:6" x14ac:dyDescent="0.2">
      <c r="A16" s="10">
        <v>11</v>
      </c>
      <c r="B16" s="25" t="s">
        <v>11</v>
      </c>
      <c r="C16" s="19" t="s">
        <v>363</v>
      </c>
      <c r="D16" s="17">
        <f t="shared" si="1"/>
        <v>332835</v>
      </c>
      <c r="E16" s="18">
        <v>227225</v>
      </c>
      <c r="F16" s="24">
        <v>105610</v>
      </c>
    </row>
    <row r="17" spans="1:6" x14ac:dyDescent="0.2">
      <c r="A17" s="14">
        <v>12</v>
      </c>
      <c r="B17" s="25" t="s">
        <v>12</v>
      </c>
      <c r="C17" s="19" t="s">
        <v>364</v>
      </c>
      <c r="D17" s="17">
        <f t="shared" si="1"/>
        <v>3700</v>
      </c>
      <c r="E17" s="27">
        <v>3700</v>
      </c>
      <c r="F17" s="28"/>
    </row>
    <row r="18" spans="1:6" x14ac:dyDescent="0.2">
      <c r="A18" s="10">
        <v>13</v>
      </c>
      <c r="B18" s="15">
        <v>1361</v>
      </c>
      <c r="C18" s="19" t="s">
        <v>365</v>
      </c>
      <c r="D18" s="17">
        <f t="shared" ref="D18" si="2">+E18+F18</f>
        <v>92659</v>
      </c>
      <c r="E18" s="27">
        <v>76237</v>
      </c>
      <c r="F18" s="28">
        <v>16422</v>
      </c>
    </row>
    <row r="19" spans="1:6" x14ac:dyDescent="0.2">
      <c r="A19" s="10">
        <v>14</v>
      </c>
      <c r="B19" s="25" t="s">
        <v>309</v>
      </c>
      <c r="C19" s="389" t="s">
        <v>366</v>
      </c>
      <c r="D19" s="17">
        <f t="shared" si="1"/>
        <v>170000</v>
      </c>
      <c r="E19" s="27">
        <v>170000</v>
      </c>
      <c r="F19" s="28"/>
    </row>
    <row r="20" spans="1:6" ht="13.5" thickBot="1" x14ac:dyDescent="0.25">
      <c r="A20" s="14">
        <v>15</v>
      </c>
      <c r="B20" s="29" t="s">
        <v>13</v>
      </c>
      <c r="C20" s="30" t="s">
        <v>310</v>
      </c>
      <c r="D20" s="31">
        <f>SUM(D12:D19)</f>
        <v>16255358</v>
      </c>
      <c r="E20" s="32">
        <f>SUM(E12:E19)</f>
        <v>16029707</v>
      </c>
      <c r="F20" s="32">
        <f>SUM(F13:F19)</f>
        <v>225651</v>
      </c>
    </row>
    <row r="21" spans="1:6" x14ac:dyDescent="0.2">
      <c r="A21" s="10">
        <v>16</v>
      </c>
      <c r="B21" s="33" t="s">
        <v>14</v>
      </c>
      <c r="C21" s="34" t="s">
        <v>367</v>
      </c>
      <c r="D21" s="17">
        <f t="shared" ref="D21:D26" si="3">+E21+F21</f>
        <v>193740</v>
      </c>
      <c r="E21" s="13">
        <v>152417</v>
      </c>
      <c r="F21" s="35">
        <v>41323</v>
      </c>
    </row>
    <row r="22" spans="1:6" x14ac:dyDescent="0.2">
      <c r="A22" s="14">
        <v>17</v>
      </c>
      <c r="B22" s="33" t="s">
        <v>15</v>
      </c>
      <c r="C22" s="34" t="s">
        <v>442</v>
      </c>
      <c r="D22" s="17">
        <f t="shared" si="3"/>
        <v>117857</v>
      </c>
      <c r="E22" s="13">
        <v>100041</v>
      </c>
      <c r="F22" s="35">
        <v>17816</v>
      </c>
    </row>
    <row r="23" spans="1:6" x14ac:dyDescent="0.2">
      <c r="A23" s="10">
        <v>18</v>
      </c>
      <c r="B23" s="25" t="s">
        <v>16</v>
      </c>
      <c r="C23" s="26" t="s">
        <v>368</v>
      </c>
      <c r="D23" s="17">
        <f t="shared" si="3"/>
        <v>275505</v>
      </c>
      <c r="E23" s="18">
        <v>162628</v>
      </c>
      <c r="F23" s="24">
        <v>112877</v>
      </c>
    </row>
    <row r="24" spans="1:6" x14ac:dyDescent="0.2">
      <c r="A24" s="14">
        <v>19</v>
      </c>
      <c r="B24" s="25" t="s">
        <v>17</v>
      </c>
      <c r="C24" s="26" t="s">
        <v>369</v>
      </c>
      <c r="D24" s="17">
        <f t="shared" si="3"/>
        <v>94966</v>
      </c>
      <c r="E24" s="18">
        <v>67310</v>
      </c>
      <c r="F24" s="24">
        <v>27656</v>
      </c>
    </row>
    <row r="25" spans="1:6" x14ac:dyDescent="0.2">
      <c r="A25" s="10">
        <v>20</v>
      </c>
      <c r="B25" s="25" t="s">
        <v>18</v>
      </c>
      <c r="C25" s="26" t="s">
        <v>19</v>
      </c>
      <c r="D25" s="17">
        <f t="shared" si="3"/>
        <v>72548</v>
      </c>
      <c r="E25" s="18">
        <v>68507</v>
      </c>
      <c r="F25" s="24">
        <v>4041</v>
      </c>
    </row>
    <row r="26" spans="1:6" x14ac:dyDescent="0.2">
      <c r="A26" s="10">
        <v>21</v>
      </c>
      <c r="B26" s="36" t="s">
        <v>20</v>
      </c>
      <c r="C26" s="19" t="s">
        <v>21</v>
      </c>
      <c r="D26" s="17">
        <f t="shared" si="3"/>
        <v>304206</v>
      </c>
      <c r="E26" s="18">
        <v>289998</v>
      </c>
      <c r="F26" s="24">
        <v>14208</v>
      </c>
    </row>
    <row r="27" spans="1:6" ht="13.5" thickBot="1" x14ac:dyDescent="0.25">
      <c r="A27" s="14">
        <v>22</v>
      </c>
      <c r="B27" s="29" t="s">
        <v>22</v>
      </c>
      <c r="C27" s="30" t="s">
        <v>311</v>
      </c>
      <c r="D27" s="31">
        <f>SUM(D21:D26)</f>
        <v>1058822</v>
      </c>
      <c r="E27" s="32">
        <f>SUM(E21:E26)</f>
        <v>840901</v>
      </c>
      <c r="F27" s="32">
        <f>SUM(F21:F26)</f>
        <v>217921</v>
      </c>
    </row>
    <row r="28" spans="1:6" x14ac:dyDescent="0.2">
      <c r="A28" s="10">
        <v>23</v>
      </c>
      <c r="B28" s="33" t="s">
        <v>23</v>
      </c>
      <c r="C28" s="37" t="s">
        <v>24</v>
      </c>
      <c r="D28" s="17">
        <f>+E28+F28</f>
        <v>451150</v>
      </c>
      <c r="E28" s="13">
        <v>451100</v>
      </c>
      <c r="F28" s="35">
        <v>50</v>
      </c>
    </row>
    <row r="29" spans="1:6" x14ac:dyDescent="0.2">
      <c r="A29" s="57">
        <v>24</v>
      </c>
      <c r="B29" s="25" t="s">
        <v>25</v>
      </c>
      <c r="C29" s="26" t="s">
        <v>26</v>
      </c>
      <c r="D29" s="54">
        <f>+E29+F29</f>
        <v>20000</v>
      </c>
      <c r="E29" s="18">
        <v>20000</v>
      </c>
      <c r="F29" s="24"/>
    </row>
    <row r="30" spans="1:6" ht="13.5" thickBot="1" x14ac:dyDescent="0.25">
      <c r="A30" s="14">
        <v>25</v>
      </c>
      <c r="B30" s="29" t="s">
        <v>27</v>
      </c>
      <c r="C30" s="30" t="s">
        <v>378</v>
      </c>
      <c r="D30" s="31">
        <f>SUM(D28:D29)</f>
        <v>471150</v>
      </c>
      <c r="E30" s="32">
        <f>SUM(E28:E29)</f>
        <v>471100</v>
      </c>
      <c r="F30" s="32">
        <f>SUM(F28:F29)</f>
        <v>50</v>
      </c>
    </row>
    <row r="31" spans="1:6" ht="13.5" thickBot="1" x14ac:dyDescent="0.25">
      <c r="A31" s="14">
        <v>26</v>
      </c>
      <c r="B31" s="38"/>
      <c r="C31" s="39" t="s">
        <v>379</v>
      </c>
      <c r="D31" s="40">
        <f>+D20+D27+D30</f>
        <v>17785330</v>
      </c>
      <c r="E31" s="41">
        <f>+E20+E27+E30</f>
        <v>17341708</v>
      </c>
      <c r="F31" s="41">
        <f>+F20+F27+F30</f>
        <v>443622</v>
      </c>
    </row>
    <row r="32" spans="1:6" x14ac:dyDescent="0.2">
      <c r="A32" s="10">
        <v>27</v>
      </c>
      <c r="B32" s="11">
        <v>4112</v>
      </c>
      <c r="C32" s="34" t="s">
        <v>372</v>
      </c>
      <c r="D32" s="17">
        <f>+E32+F32</f>
        <v>407313</v>
      </c>
      <c r="E32" s="13">
        <v>198491</v>
      </c>
      <c r="F32" s="35">
        <v>208822</v>
      </c>
    </row>
    <row r="33" spans="1:7" x14ac:dyDescent="0.2">
      <c r="A33" s="14">
        <v>28</v>
      </c>
      <c r="B33" s="11">
        <v>4116</v>
      </c>
      <c r="C33" s="34" t="s">
        <v>28</v>
      </c>
      <c r="D33" s="17">
        <f>+E33+F33</f>
        <v>3146</v>
      </c>
      <c r="E33" s="13"/>
      <c r="F33" s="35">
        <v>3146</v>
      </c>
    </row>
    <row r="34" spans="1:7" x14ac:dyDescent="0.2">
      <c r="A34" s="10">
        <v>29</v>
      </c>
      <c r="B34" s="11">
        <v>4121</v>
      </c>
      <c r="C34" s="34" t="s">
        <v>371</v>
      </c>
      <c r="D34" s="17">
        <f>+E34+F34</f>
        <v>90</v>
      </c>
      <c r="E34" s="13">
        <v>25</v>
      </c>
      <c r="F34" s="35">
        <v>65</v>
      </c>
    </row>
    <row r="35" spans="1:7" x14ac:dyDescent="0.2">
      <c r="A35" s="14">
        <v>30</v>
      </c>
      <c r="B35" s="11">
        <v>4131</v>
      </c>
      <c r="C35" s="34" t="s">
        <v>370</v>
      </c>
      <c r="D35" s="17">
        <f>+E35+F35</f>
        <v>1489926</v>
      </c>
      <c r="E35" s="13">
        <v>962841</v>
      </c>
      <c r="F35" s="35">
        <v>527085</v>
      </c>
    </row>
    <row r="36" spans="1:7" x14ac:dyDescent="0.2">
      <c r="A36" s="10">
        <v>31</v>
      </c>
      <c r="B36" s="11">
        <v>4137</v>
      </c>
      <c r="C36" s="42" t="s">
        <v>334</v>
      </c>
      <c r="D36" s="43" t="s">
        <v>29</v>
      </c>
      <c r="E36" s="13"/>
      <c r="F36" s="35">
        <f>E54</f>
        <v>2336893</v>
      </c>
    </row>
    <row r="37" spans="1:7" x14ac:dyDescent="0.2">
      <c r="A37" s="14">
        <v>32</v>
      </c>
      <c r="B37" s="11">
        <v>4137</v>
      </c>
      <c r="C37" s="42" t="s">
        <v>335</v>
      </c>
      <c r="D37" s="43" t="s">
        <v>29</v>
      </c>
      <c r="E37" s="13"/>
      <c r="F37" s="35">
        <v>580</v>
      </c>
    </row>
    <row r="38" spans="1:7" x14ac:dyDescent="0.2">
      <c r="A38" s="10">
        <v>33</v>
      </c>
      <c r="B38" s="11">
        <v>4137</v>
      </c>
      <c r="C38" s="16" t="s">
        <v>340</v>
      </c>
      <c r="D38" s="43" t="s">
        <v>29</v>
      </c>
      <c r="E38" s="13">
        <v>52150</v>
      </c>
      <c r="F38" s="35"/>
    </row>
    <row r="39" spans="1:7" x14ac:dyDescent="0.2">
      <c r="A39" s="10">
        <v>34</v>
      </c>
      <c r="B39" s="11">
        <v>4251</v>
      </c>
      <c r="C39" s="16" t="s">
        <v>337</v>
      </c>
      <c r="D39" s="43" t="s">
        <v>29</v>
      </c>
      <c r="E39" s="13"/>
      <c r="F39" s="35">
        <f>E62</f>
        <v>252133</v>
      </c>
    </row>
    <row r="40" spans="1:7" ht="13.5" thickBot="1" x14ac:dyDescent="0.25">
      <c r="A40" s="14">
        <v>35</v>
      </c>
      <c r="B40" s="29" t="s">
        <v>30</v>
      </c>
      <c r="C40" s="30" t="s">
        <v>380</v>
      </c>
      <c r="D40" s="32">
        <f>SUM(D32:D39)</f>
        <v>1900475</v>
      </c>
      <c r="E40" s="32">
        <f>SUM(E32:E39)</f>
        <v>1213507</v>
      </c>
      <c r="F40" s="32">
        <f>SUM(F32:F39)</f>
        <v>3328724</v>
      </c>
    </row>
    <row r="41" spans="1:7" ht="13.5" thickBot="1" x14ac:dyDescent="0.25">
      <c r="A41" s="44">
        <v>36</v>
      </c>
      <c r="B41" s="45" t="s">
        <v>31</v>
      </c>
      <c r="C41" s="46" t="s">
        <v>381</v>
      </c>
      <c r="D41" s="47">
        <f>+D31+D40</f>
        <v>19685805</v>
      </c>
      <c r="E41" s="47">
        <f>+E31+E40</f>
        <v>18555215</v>
      </c>
      <c r="F41" s="47">
        <f>+F31+F40</f>
        <v>3772346</v>
      </c>
      <c r="G41" s="375"/>
    </row>
    <row r="42" spans="1:7" ht="13.5" thickBot="1" x14ac:dyDescent="0.25">
      <c r="A42" s="48"/>
      <c r="B42" s="49"/>
      <c r="C42" s="50"/>
      <c r="D42" s="50"/>
      <c r="E42" s="50"/>
      <c r="F42" s="50"/>
    </row>
    <row r="43" spans="1:7" ht="13.5" thickBot="1" x14ac:dyDescent="0.25">
      <c r="A43" s="4"/>
      <c r="B43" s="5" t="s">
        <v>1</v>
      </c>
      <c r="C43" s="403" t="s">
        <v>32</v>
      </c>
      <c r="D43" s="400" t="str">
        <f>$D$3</f>
        <v>SCHVÁLENÝ ROZPOČET 2024</v>
      </c>
      <c r="E43" s="401"/>
      <c r="F43" s="402"/>
    </row>
    <row r="44" spans="1:7" x14ac:dyDescent="0.2">
      <c r="A44" s="6" t="s">
        <v>2</v>
      </c>
      <c r="B44" s="7" t="s">
        <v>3</v>
      </c>
      <c r="C44" s="404"/>
      <c r="D44" s="398" t="s">
        <v>80</v>
      </c>
      <c r="E44" s="398" t="s">
        <v>6</v>
      </c>
      <c r="F44" s="398" t="s">
        <v>7</v>
      </c>
    </row>
    <row r="45" spans="1:7" ht="13.5" thickBot="1" x14ac:dyDescent="0.25">
      <c r="A45" s="8"/>
      <c r="B45" s="9" t="s">
        <v>5</v>
      </c>
      <c r="C45" s="405"/>
      <c r="D45" s="399"/>
      <c r="E45" s="399"/>
      <c r="F45" s="399"/>
    </row>
    <row r="46" spans="1:7" x14ac:dyDescent="0.2">
      <c r="A46" s="51">
        <v>1</v>
      </c>
      <c r="B46" s="52" t="s">
        <v>331</v>
      </c>
      <c r="C46" s="53" t="s">
        <v>373</v>
      </c>
      <c r="D46" s="54">
        <f t="shared" ref="D46:D52" si="4">+E46+F46</f>
        <v>2176733</v>
      </c>
      <c r="E46" s="55">
        <f>1018127+370431</f>
        <v>1388558</v>
      </c>
      <c r="F46" s="56">
        <f>560543+227632</f>
        <v>788175</v>
      </c>
    </row>
    <row r="47" spans="1:7" x14ac:dyDescent="0.2">
      <c r="A47" s="14">
        <v>2</v>
      </c>
      <c r="B47" s="25" t="s">
        <v>33</v>
      </c>
      <c r="C47" s="26" t="s">
        <v>374</v>
      </c>
      <c r="D47" s="54">
        <f t="shared" si="4"/>
        <v>213070</v>
      </c>
      <c r="E47" s="18">
        <v>52911</v>
      </c>
      <c r="F47" s="24">
        <v>160159</v>
      </c>
    </row>
    <row r="48" spans="1:7" x14ac:dyDescent="0.2">
      <c r="A48" s="57">
        <v>3</v>
      </c>
      <c r="B48" s="58" t="s">
        <v>34</v>
      </c>
      <c r="C48" s="42" t="s">
        <v>35</v>
      </c>
      <c r="D48" s="54">
        <f t="shared" si="4"/>
        <v>390503</v>
      </c>
      <c r="E48" s="59">
        <v>388700</v>
      </c>
      <c r="F48" s="56">
        <v>1803</v>
      </c>
    </row>
    <row r="49" spans="1:6" x14ac:dyDescent="0.2">
      <c r="A49" s="14">
        <v>4</v>
      </c>
      <c r="B49" s="25" t="s">
        <v>36</v>
      </c>
      <c r="C49" s="16" t="s">
        <v>375</v>
      </c>
      <c r="D49" s="54">
        <f t="shared" si="4"/>
        <v>2664162</v>
      </c>
      <c r="E49" s="18">
        <v>1952167</v>
      </c>
      <c r="F49" s="24">
        <v>711995</v>
      </c>
    </row>
    <row r="50" spans="1:6" x14ac:dyDescent="0.2">
      <c r="A50" s="57">
        <v>5</v>
      </c>
      <c r="B50" s="25">
        <v>5171</v>
      </c>
      <c r="C50" s="16" t="s">
        <v>37</v>
      </c>
      <c r="D50" s="54">
        <f t="shared" si="4"/>
        <v>1077295</v>
      </c>
      <c r="E50" s="18">
        <v>748253</v>
      </c>
      <c r="F50" s="24">
        <v>329042</v>
      </c>
    </row>
    <row r="51" spans="1:6" x14ac:dyDescent="0.2">
      <c r="A51" s="14">
        <v>6</v>
      </c>
      <c r="B51" s="58">
        <v>5213</v>
      </c>
      <c r="C51" s="42" t="s">
        <v>376</v>
      </c>
      <c r="D51" s="54">
        <f t="shared" si="4"/>
        <v>2680000</v>
      </c>
      <c r="E51" s="60">
        <v>2680000</v>
      </c>
      <c r="F51" s="61"/>
    </row>
    <row r="52" spans="1:6" x14ac:dyDescent="0.2">
      <c r="A52" s="14">
        <v>7</v>
      </c>
      <c r="B52" s="58" t="s">
        <v>38</v>
      </c>
      <c r="C52" s="42" t="s">
        <v>377</v>
      </c>
      <c r="D52" s="17">
        <f t="shared" si="4"/>
        <v>648355</v>
      </c>
      <c r="E52" s="27">
        <v>626797</v>
      </c>
      <c r="F52" s="28">
        <v>21558</v>
      </c>
    </row>
    <row r="53" spans="1:6" x14ac:dyDescent="0.2">
      <c r="A53" s="57">
        <v>8</v>
      </c>
      <c r="B53" s="62">
        <v>5331</v>
      </c>
      <c r="C53" s="42" t="s">
        <v>39</v>
      </c>
      <c r="D53" s="17">
        <f>+E53+F53</f>
        <v>2981930</v>
      </c>
      <c r="E53" s="27">
        <v>2340026</v>
      </c>
      <c r="F53" s="28">
        <v>641904</v>
      </c>
    </row>
    <row r="54" spans="1:6" x14ac:dyDescent="0.2">
      <c r="A54" s="57">
        <v>9</v>
      </c>
      <c r="B54" s="58">
        <v>5347</v>
      </c>
      <c r="C54" s="42" t="s">
        <v>334</v>
      </c>
      <c r="D54" s="43" t="s">
        <v>29</v>
      </c>
      <c r="E54" s="27">
        <v>2336893</v>
      </c>
      <c r="F54" s="28"/>
    </row>
    <row r="55" spans="1:6" x14ac:dyDescent="0.2">
      <c r="A55" s="14">
        <v>10</v>
      </c>
      <c r="B55" s="58">
        <v>5347</v>
      </c>
      <c r="C55" s="42" t="s">
        <v>335</v>
      </c>
      <c r="D55" s="43" t="s">
        <v>29</v>
      </c>
      <c r="E55" s="27"/>
      <c r="F55" s="28">
        <f>F37</f>
        <v>580</v>
      </c>
    </row>
    <row r="56" spans="1:6" x14ac:dyDescent="0.2">
      <c r="A56" s="57">
        <v>11</v>
      </c>
      <c r="B56" s="58">
        <v>5347</v>
      </c>
      <c r="C56" s="42" t="s">
        <v>336</v>
      </c>
      <c r="D56" s="43" t="s">
        <v>29</v>
      </c>
      <c r="E56" s="27"/>
      <c r="F56" s="28">
        <f>E38</f>
        <v>52150</v>
      </c>
    </row>
    <row r="57" spans="1:6" x14ac:dyDescent="0.2">
      <c r="A57" s="14">
        <v>12</v>
      </c>
      <c r="B57" s="58">
        <v>5365</v>
      </c>
      <c r="C57" s="42" t="s">
        <v>9</v>
      </c>
      <c r="D57" s="17">
        <f>+E57+F57</f>
        <v>270126</v>
      </c>
      <c r="E57" s="27">
        <v>250000</v>
      </c>
      <c r="F57" s="28">
        <f>F14</f>
        <v>20126</v>
      </c>
    </row>
    <row r="58" spans="1:6" x14ac:dyDescent="0.2">
      <c r="A58" s="57">
        <v>13</v>
      </c>
      <c r="B58" s="58" t="s">
        <v>339</v>
      </c>
      <c r="C58" s="63" t="s">
        <v>313</v>
      </c>
      <c r="D58" s="17">
        <f>+E58+F58</f>
        <v>135686</v>
      </c>
      <c r="E58" s="18">
        <f>98690+1400</f>
        <v>100090</v>
      </c>
      <c r="F58" s="28">
        <v>35596</v>
      </c>
    </row>
    <row r="59" spans="1:6" x14ac:dyDescent="0.2">
      <c r="A59" s="14">
        <v>14</v>
      </c>
      <c r="B59" s="64" t="s">
        <v>40</v>
      </c>
      <c r="C59" s="63" t="s">
        <v>41</v>
      </c>
      <c r="D59" s="13">
        <f>+E59+F59</f>
        <v>1316021</v>
      </c>
      <c r="E59" s="27">
        <f>13793467-SUM(E46:E58)</f>
        <v>929072</v>
      </c>
      <c r="F59" s="28">
        <f>3150037-F46-F47-F48-F49-F50-F51-F52-F53-F54-F55-F56-F57-F58</f>
        <v>386949</v>
      </c>
    </row>
    <row r="60" spans="1:6" ht="13.5" thickBot="1" x14ac:dyDescent="0.25">
      <c r="A60" s="57">
        <v>15</v>
      </c>
      <c r="B60" s="29" t="s">
        <v>42</v>
      </c>
      <c r="C60" s="65" t="s">
        <v>342</v>
      </c>
      <c r="D60" s="32">
        <f>SUM(D46:D59)</f>
        <v>14553881</v>
      </c>
      <c r="E60" s="32">
        <f>SUM(E46:E59)</f>
        <v>13793467</v>
      </c>
      <c r="F60" s="32">
        <f>SUM(F46:F59)</f>
        <v>3150037</v>
      </c>
    </row>
    <row r="61" spans="1:6" x14ac:dyDescent="0.2">
      <c r="A61" s="14">
        <v>16</v>
      </c>
      <c r="B61" s="66">
        <v>6351</v>
      </c>
      <c r="C61" s="67" t="s">
        <v>43</v>
      </c>
      <c r="D61" s="13">
        <f>+E61+F61</f>
        <v>181596</v>
      </c>
      <c r="E61" s="18">
        <v>167716</v>
      </c>
      <c r="F61" s="18">
        <v>13880</v>
      </c>
    </row>
    <row r="62" spans="1:6" x14ac:dyDescent="0.2">
      <c r="A62" s="57">
        <v>17</v>
      </c>
      <c r="B62" s="58">
        <v>6363</v>
      </c>
      <c r="C62" s="42" t="s">
        <v>337</v>
      </c>
      <c r="D62" s="43" t="s">
        <v>29</v>
      </c>
      <c r="E62" s="18">
        <v>252133</v>
      </c>
      <c r="F62" s="24"/>
    </row>
    <row r="63" spans="1:6" x14ac:dyDescent="0.2">
      <c r="A63" s="57">
        <v>18</v>
      </c>
      <c r="B63" s="68" t="s">
        <v>44</v>
      </c>
      <c r="C63" s="69" t="s">
        <v>45</v>
      </c>
      <c r="D63" s="13">
        <f>+E63+F63</f>
        <v>6670220</v>
      </c>
      <c r="E63" s="18">
        <f>5654383-E61-E62</f>
        <v>5234534</v>
      </c>
      <c r="F63" s="24">
        <f>1449566-F61</f>
        <v>1435686</v>
      </c>
    </row>
    <row r="64" spans="1:6" ht="13.5" thickBot="1" x14ac:dyDescent="0.25">
      <c r="A64" s="14">
        <v>19</v>
      </c>
      <c r="B64" s="70" t="s">
        <v>46</v>
      </c>
      <c r="C64" s="71" t="s">
        <v>343</v>
      </c>
      <c r="D64" s="41">
        <f>SUM(D61:D63)</f>
        <v>6851816</v>
      </c>
      <c r="E64" s="41">
        <f>SUM(E61:E63)</f>
        <v>5654383</v>
      </c>
      <c r="F64" s="41">
        <f>SUM(F61:F63)</f>
        <v>1449566</v>
      </c>
    </row>
    <row r="65" spans="1:6" ht="13.5" thickBot="1" x14ac:dyDescent="0.25">
      <c r="A65" s="44">
        <v>20</v>
      </c>
      <c r="B65" s="45" t="s">
        <v>47</v>
      </c>
      <c r="C65" s="46" t="s">
        <v>344</v>
      </c>
      <c r="D65" s="47">
        <f>+D60+D64</f>
        <v>21405697</v>
      </c>
      <c r="E65" s="47">
        <f>+E60+E64</f>
        <v>19447850</v>
      </c>
      <c r="F65" s="47">
        <f>+F60+F64</f>
        <v>4599603</v>
      </c>
    </row>
    <row r="66" spans="1:6" ht="13.5" thickBot="1" x14ac:dyDescent="0.25">
      <c r="A66" s="48"/>
      <c r="B66" s="49"/>
      <c r="C66" s="72"/>
      <c r="D66" s="72"/>
      <c r="E66" s="72"/>
      <c r="F66" s="72"/>
    </row>
    <row r="67" spans="1:6" ht="13.5" thickBot="1" x14ac:dyDescent="0.25">
      <c r="A67" s="4"/>
      <c r="B67" s="5" t="s">
        <v>1</v>
      </c>
      <c r="C67" s="403" t="s">
        <v>48</v>
      </c>
      <c r="D67" s="400" t="str">
        <f>$D$3</f>
        <v>SCHVÁLENÝ ROZPOČET 2024</v>
      </c>
      <c r="E67" s="401"/>
      <c r="F67" s="402"/>
    </row>
    <row r="68" spans="1:6" x14ac:dyDescent="0.2">
      <c r="A68" s="6" t="s">
        <v>2</v>
      </c>
      <c r="B68" s="7" t="s">
        <v>3</v>
      </c>
      <c r="C68" s="404"/>
      <c r="D68" s="398" t="s">
        <v>80</v>
      </c>
      <c r="E68" s="398" t="s">
        <v>6</v>
      </c>
      <c r="F68" s="398" t="s">
        <v>7</v>
      </c>
    </row>
    <row r="69" spans="1:6" ht="13.5" thickBot="1" x14ac:dyDescent="0.25">
      <c r="A69" s="8"/>
      <c r="B69" s="9" t="s">
        <v>5</v>
      </c>
      <c r="C69" s="405"/>
      <c r="D69" s="399"/>
      <c r="E69" s="399"/>
      <c r="F69" s="399"/>
    </row>
    <row r="70" spans="1:6" x14ac:dyDescent="0.2">
      <c r="A70" s="14">
        <v>1</v>
      </c>
      <c r="B70" s="395">
        <v>8115.8127000000004</v>
      </c>
      <c r="C70" s="16" t="s">
        <v>457</v>
      </c>
      <c r="D70" s="54">
        <f>+E70+F70</f>
        <v>902511</v>
      </c>
      <c r="E70" s="73">
        <v>65537</v>
      </c>
      <c r="F70" s="73">
        <f>832574+4400</f>
        <v>836974</v>
      </c>
    </row>
    <row r="71" spans="1:6" x14ac:dyDescent="0.2">
      <c r="A71" s="10">
        <v>2</v>
      </c>
      <c r="B71" s="15">
        <v>8124</v>
      </c>
      <c r="C71" s="16" t="s">
        <v>49</v>
      </c>
      <c r="D71" s="18">
        <f>+E71+F71</f>
        <v>-9717</v>
      </c>
      <c r="E71" s="18"/>
      <c r="F71" s="18">
        <v>-9717</v>
      </c>
    </row>
    <row r="72" spans="1:6" x14ac:dyDescent="0.2">
      <c r="A72" s="10">
        <v>3</v>
      </c>
      <c r="B72" s="62">
        <v>8224</v>
      </c>
      <c r="C72" s="16" t="s">
        <v>50</v>
      </c>
      <c r="D72" s="27">
        <f>+E72+F72</f>
        <v>-310527</v>
      </c>
      <c r="E72" s="27">
        <v>-310527</v>
      </c>
      <c r="F72" s="27"/>
    </row>
    <row r="73" spans="1:6" ht="13.5" thickBot="1" x14ac:dyDescent="0.25">
      <c r="A73" s="14">
        <v>4</v>
      </c>
      <c r="B73" s="25">
        <v>8905</v>
      </c>
      <c r="C73" s="390" t="s">
        <v>456</v>
      </c>
      <c r="D73" s="54">
        <f>+E73+F73</f>
        <v>1137625</v>
      </c>
      <c r="E73" s="73">
        <v>1137625</v>
      </c>
      <c r="F73" s="73"/>
    </row>
    <row r="74" spans="1:6" ht="13.5" thickBot="1" x14ac:dyDescent="0.25">
      <c r="A74" s="8">
        <v>5</v>
      </c>
      <c r="B74" s="74" t="s">
        <v>51</v>
      </c>
      <c r="C74" s="75" t="s">
        <v>338</v>
      </c>
      <c r="D74" s="76">
        <f>SUM(D70:D73)</f>
        <v>1719892</v>
      </c>
      <c r="E74" s="76">
        <f>SUM(E70:E73)</f>
        <v>892635</v>
      </c>
      <c r="F74" s="76">
        <f>SUM(F70:F73)</f>
        <v>827257</v>
      </c>
    </row>
    <row r="75" spans="1:6" ht="13.5" thickBot="1" x14ac:dyDescent="0.25">
      <c r="A75" s="48"/>
      <c r="B75" s="48"/>
      <c r="C75" s="50"/>
      <c r="D75" s="50"/>
      <c r="E75" s="50"/>
      <c r="F75" s="50"/>
    </row>
    <row r="76" spans="1:6" ht="13.5" thickBot="1" x14ac:dyDescent="0.25">
      <c r="A76" s="4"/>
      <c r="B76" s="5" t="s">
        <v>5</v>
      </c>
      <c r="C76" s="403" t="s">
        <v>52</v>
      </c>
      <c r="D76" s="400" t="str">
        <f>$D$3</f>
        <v>SCHVÁLENÝ ROZPOČET 2024</v>
      </c>
      <c r="E76" s="401"/>
      <c r="F76" s="402"/>
    </row>
    <row r="77" spans="1:6" x14ac:dyDescent="0.2">
      <c r="A77" s="77" t="s">
        <v>2</v>
      </c>
      <c r="B77" s="7"/>
      <c r="C77" s="404"/>
      <c r="D77" s="398" t="s">
        <v>80</v>
      </c>
      <c r="E77" s="398" t="s">
        <v>6</v>
      </c>
      <c r="F77" s="398" t="s">
        <v>7</v>
      </c>
    </row>
    <row r="78" spans="1:6" ht="13.5" thickBot="1" x14ac:dyDescent="0.25">
      <c r="A78" s="78"/>
      <c r="B78" s="9"/>
      <c r="C78" s="405"/>
      <c r="D78" s="399"/>
      <c r="E78" s="399"/>
      <c r="F78" s="399"/>
    </row>
    <row r="79" spans="1:6" x14ac:dyDescent="0.2">
      <c r="A79" s="51">
        <v>1</v>
      </c>
      <c r="B79" s="79" t="s">
        <v>53</v>
      </c>
      <c r="C79" s="80" t="s">
        <v>54</v>
      </c>
      <c r="D79" s="81">
        <f>+D41</f>
        <v>19685805</v>
      </c>
      <c r="E79" s="81">
        <f>+E41</f>
        <v>18555215</v>
      </c>
      <c r="F79" s="81">
        <f>+F41</f>
        <v>3772346</v>
      </c>
    </row>
    <row r="80" spans="1:6" x14ac:dyDescent="0.2">
      <c r="A80" s="10">
        <v>2</v>
      </c>
      <c r="B80" s="82" t="s">
        <v>55</v>
      </c>
      <c r="C80" s="83" t="s">
        <v>56</v>
      </c>
      <c r="D80" s="84">
        <f>+D65</f>
        <v>21405697</v>
      </c>
      <c r="E80" s="84">
        <f>+E65</f>
        <v>19447850</v>
      </c>
      <c r="F80" s="84">
        <f>+F65</f>
        <v>4599603</v>
      </c>
    </row>
    <row r="81" spans="1:6" ht="13.5" thickBot="1" x14ac:dyDescent="0.25">
      <c r="A81" s="44">
        <v>3</v>
      </c>
      <c r="B81" s="85"/>
      <c r="C81" s="86" t="s">
        <v>57</v>
      </c>
      <c r="D81" s="87">
        <f>+D79-D80</f>
        <v>-1719892</v>
      </c>
      <c r="E81" s="87">
        <f>+E79-E80</f>
        <v>-892635</v>
      </c>
      <c r="F81" s="87">
        <f>+F79-F80</f>
        <v>-827257</v>
      </c>
    </row>
    <row r="82" spans="1:6" ht="13.5" thickBot="1" x14ac:dyDescent="0.25">
      <c r="A82" s="88">
        <v>4</v>
      </c>
      <c r="B82" s="89" t="s">
        <v>51</v>
      </c>
      <c r="C82" s="90" t="s">
        <v>58</v>
      </c>
      <c r="D82" s="91">
        <f>+D74</f>
        <v>1719892</v>
      </c>
      <c r="E82" s="91">
        <f>+E74</f>
        <v>892635</v>
      </c>
      <c r="F82" s="91">
        <f>+F74</f>
        <v>827257</v>
      </c>
    </row>
    <row r="83" spans="1:6" ht="7.5" customHeight="1" x14ac:dyDescent="0.2">
      <c r="A83" s="48"/>
      <c r="B83" s="48"/>
      <c r="C83" s="50"/>
      <c r="D83" s="50"/>
      <c r="E83" s="3"/>
      <c r="F83" s="3"/>
    </row>
    <row r="84" spans="1:6" x14ac:dyDescent="0.2">
      <c r="A84" s="92" t="s">
        <v>29</v>
      </c>
      <c r="B84" s="48" t="s">
        <v>59</v>
      </c>
      <c r="C84" s="50"/>
      <c r="D84" s="50"/>
      <c r="E84" s="3"/>
      <c r="F84" s="3"/>
    </row>
  </sheetData>
  <mergeCells count="21">
    <mergeCell ref="D67:F67"/>
    <mergeCell ref="D76:F76"/>
    <mergeCell ref="C3:C5"/>
    <mergeCell ref="C43:C45"/>
    <mergeCell ref="C67:C69"/>
    <mergeCell ref="C76:C78"/>
    <mergeCell ref="D68:D69"/>
    <mergeCell ref="E68:E69"/>
    <mergeCell ref="F68:F69"/>
    <mergeCell ref="D77:D78"/>
    <mergeCell ref="E77:E78"/>
    <mergeCell ref="F77:F78"/>
    <mergeCell ref="A1:F1"/>
    <mergeCell ref="D4:D5"/>
    <mergeCell ref="E4:E5"/>
    <mergeCell ref="F4:F5"/>
    <mergeCell ref="D44:D45"/>
    <mergeCell ref="E44:E45"/>
    <mergeCell ref="F44:F45"/>
    <mergeCell ref="D3:F3"/>
    <mergeCell ref="D43:F43"/>
  </mergeCells>
  <printOptions horizontalCentered="1"/>
  <pageMargins left="0.70866141732283472" right="0.70866141732283472" top="0.39370078740157483" bottom="0.23622047244094491" header="0.23622047244094491" footer="0.15748031496062992"/>
  <pageSetup paperSize="9" scale="71" orientation="portrait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6"/>
  <sheetViews>
    <sheetView showZeros="0" zoomScaleNormal="100" workbookViewId="0">
      <selection activeCell="C14" sqref="C14"/>
    </sheetView>
  </sheetViews>
  <sheetFormatPr defaultRowHeight="12.75" x14ac:dyDescent="0.2"/>
  <cols>
    <col min="1" max="1" width="8" style="93" customWidth="1"/>
    <col min="2" max="2" width="49.7109375" style="93" customWidth="1"/>
    <col min="3" max="4" width="15.28515625" style="93" customWidth="1"/>
    <col min="5" max="16384" width="9.140625" style="93"/>
  </cols>
  <sheetData>
    <row r="1" spans="1:9" ht="18.75" x14ac:dyDescent="0.3">
      <c r="A1" s="408" t="s">
        <v>79</v>
      </c>
      <c r="B1" s="408"/>
      <c r="C1" s="408"/>
      <c r="D1" s="408"/>
    </row>
    <row r="2" spans="1:9" x14ac:dyDescent="0.2">
      <c r="A2" s="410"/>
      <c r="B2" s="410"/>
      <c r="C2" s="410"/>
      <c r="D2" s="410"/>
    </row>
    <row r="3" spans="1:9" ht="15" x14ac:dyDescent="0.25">
      <c r="A3" s="409" t="s">
        <v>444</v>
      </c>
      <c r="B3" s="409"/>
      <c r="C3" s="409"/>
      <c r="D3" s="409"/>
    </row>
    <row r="5" spans="1:9" x14ac:dyDescent="0.2">
      <c r="A5" s="410" t="s">
        <v>59</v>
      </c>
      <c r="B5" s="410"/>
      <c r="C5" s="410"/>
      <c r="D5" s="410"/>
    </row>
    <row r="7" spans="1:9" x14ac:dyDescent="0.2">
      <c r="D7" s="95" t="s">
        <v>60</v>
      </c>
      <c r="I7" s="93">
        <f>17739+9616+17113+3000</f>
        <v>47468</v>
      </c>
    </row>
    <row r="8" spans="1:9" x14ac:dyDescent="0.2">
      <c r="A8" s="97"/>
      <c r="B8" s="103"/>
      <c r="C8" s="411" t="s">
        <v>61</v>
      </c>
      <c r="D8" s="412"/>
    </row>
    <row r="9" spans="1:9" x14ac:dyDescent="0.2">
      <c r="A9" s="98" t="s">
        <v>1</v>
      </c>
      <c r="B9" s="104" t="s">
        <v>62</v>
      </c>
      <c r="C9" s="107" t="s">
        <v>63</v>
      </c>
      <c r="D9" s="107" t="s">
        <v>63</v>
      </c>
    </row>
    <row r="10" spans="1:9" x14ac:dyDescent="0.2">
      <c r="A10" s="105"/>
      <c r="B10" s="106"/>
      <c r="C10" s="108" t="s">
        <v>64</v>
      </c>
      <c r="D10" s="108" t="s">
        <v>65</v>
      </c>
    </row>
    <row r="11" spans="1:9" x14ac:dyDescent="0.2">
      <c r="A11" s="99"/>
      <c r="C11" s="110"/>
      <c r="D11" s="110"/>
    </row>
    <row r="12" spans="1:9" x14ac:dyDescent="0.2">
      <c r="A12" s="100"/>
      <c r="B12" s="109" t="s">
        <v>4</v>
      </c>
      <c r="C12" s="111"/>
      <c r="D12" s="111"/>
    </row>
    <row r="13" spans="1:9" x14ac:dyDescent="0.2">
      <c r="A13" s="101">
        <v>4137</v>
      </c>
      <c r="B13" s="93" t="s">
        <v>66</v>
      </c>
      <c r="C13" s="111">
        <f>C30</f>
        <v>52150</v>
      </c>
      <c r="D13" s="111"/>
    </row>
    <row r="14" spans="1:9" x14ac:dyDescent="0.2">
      <c r="A14" s="385" t="s">
        <v>345</v>
      </c>
      <c r="B14" s="93" t="s">
        <v>348</v>
      </c>
      <c r="C14" s="111">
        <f>C47</f>
        <v>2589026</v>
      </c>
      <c r="D14" s="111">
        <f>D47</f>
        <v>580</v>
      </c>
    </row>
    <row r="15" spans="1:9" x14ac:dyDescent="0.2">
      <c r="A15" s="113"/>
      <c r="B15" s="115" t="s">
        <v>54</v>
      </c>
      <c r="C15" s="117">
        <f>SUM(C13:C14)</f>
        <v>2641176</v>
      </c>
      <c r="D15" s="114">
        <f>SUM(D11:D14)</f>
        <v>580</v>
      </c>
    </row>
    <row r="16" spans="1:9" x14ac:dyDescent="0.2">
      <c r="A16" s="101"/>
      <c r="C16" s="111"/>
      <c r="D16" s="110"/>
    </row>
    <row r="17" spans="1:4" x14ac:dyDescent="0.2">
      <c r="A17" s="102"/>
      <c r="B17" s="109" t="s">
        <v>32</v>
      </c>
      <c r="C17" s="111"/>
      <c r="D17" s="111"/>
    </row>
    <row r="18" spans="1:4" x14ac:dyDescent="0.2">
      <c r="A18" s="101">
        <v>5347</v>
      </c>
      <c r="B18" s="116" t="s">
        <v>67</v>
      </c>
      <c r="C18" s="111">
        <f>C52</f>
        <v>52150</v>
      </c>
      <c r="D18" s="111"/>
    </row>
    <row r="19" spans="1:4" x14ac:dyDescent="0.2">
      <c r="A19" s="386">
        <v>5347.6363000000001</v>
      </c>
      <c r="B19" s="116" t="s">
        <v>349</v>
      </c>
      <c r="C19" s="111">
        <f>C34+C35</f>
        <v>2589026</v>
      </c>
      <c r="D19" s="111">
        <f>D51</f>
        <v>580</v>
      </c>
    </row>
    <row r="20" spans="1:4" x14ac:dyDescent="0.2">
      <c r="A20" s="113"/>
      <c r="B20" s="115" t="s">
        <v>56</v>
      </c>
      <c r="C20" s="117">
        <f>SUM(C16:C19)</f>
        <v>2641176</v>
      </c>
      <c r="D20" s="114">
        <f>SUM(D16:D19)</f>
        <v>580</v>
      </c>
    </row>
    <row r="21" spans="1:4" x14ac:dyDescent="0.2">
      <c r="A21" s="113"/>
      <c r="B21" s="115" t="s">
        <v>68</v>
      </c>
      <c r="C21" s="117">
        <f>C15-C20</f>
        <v>0</v>
      </c>
      <c r="D21" s="114">
        <f>D15-D20</f>
        <v>0</v>
      </c>
    </row>
    <row r="22" spans="1:4" x14ac:dyDescent="0.2">
      <c r="B22" s="93" t="s">
        <v>69</v>
      </c>
    </row>
    <row r="24" spans="1:4" x14ac:dyDescent="0.2">
      <c r="C24" s="95" t="s">
        <v>60</v>
      </c>
    </row>
    <row r="25" spans="1:4" x14ac:dyDescent="0.2">
      <c r="A25" s="97"/>
      <c r="B25" s="122"/>
      <c r="C25" s="120" t="s">
        <v>70</v>
      </c>
    </row>
    <row r="26" spans="1:4" x14ac:dyDescent="0.2">
      <c r="A26" s="98" t="s">
        <v>1</v>
      </c>
      <c r="B26" s="118" t="s">
        <v>71</v>
      </c>
      <c r="C26" s="98" t="s">
        <v>63</v>
      </c>
    </row>
    <row r="27" spans="1:4" x14ac:dyDescent="0.2">
      <c r="A27" s="105"/>
      <c r="B27" s="123"/>
      <c r="C27" s="108" t="s">
        <v>72</v>
      </c>
    </row>
    <row r="28" spans="1:4" x14ac:dyDescent="0.2">
      <c r="A28" s="97"/>
      <c r="B28" s="122"/>
      <c r="C28" s="110"/>
    </row>
    <row r="29" spans="1:4" x14ac:dyDescent="0.2">
      <c r="A29" s="100"/>
      <c r="B29" s="109" t="s">
        <v>4</v>
      </c>
      <c r="C29" s="111"/>
    </row>
    <row r="30" spans="1:4" x14ac:dyDescent="0.2">
      <c r="A30" s="105">
        <v>4137</v>
      </c>
      <c r="B30" s="123" t="s">
        <v>73</v>
      </c>
      <c r="C30" s="112">
        <f>Bilance!E38</f>
        <v>52150</v>
      </c>
    </row>
    <row r="31" spans="1:4" x14ac:dyDescent="0.2">
      <c r="A31" s="119"/>
      <c r="B31" s="124" t="s">
        <v>54</v>
      </c>
      <c r="C31" s="121">
        <f>SUM(C30:C30)</f>
        <v>52150</v>
      </c>
    </row>
    <row r="32" spans="1:4" x14ac:dyDescent="0.2">
      <c r="A32" s="99"/>
      <c r="C32" s="111"/>
    </row>
    <row r="33" spans="1:4" x14ac:dyDescent="0.2">
      <c r="A33" s="100"/>
      <c r="B33" s="109" t="s">
        <v>32</v>
      </c>
      <c r="C33" s="111"/>
    </row>
    <row r="34" spans="1:4" x14ac:dyDescent="0.2">
      <c r="A34" s="99">
        <v>5347</v>
      </c>
      <c r="B34" s="93" t="s">
        <v>346</v>
      </c>
      <c r="C34" s="111">
        <f>Bilance!E54</f>
        <v>2336893</v>
      </c>
    </row>
    <row r="35" spans="1:4" x14ac:dyDescent="0.2">
      <c r="A35" s="105">
        <v>6363</v>
      </c>
      <c r="B35" s="123" t="s">
        <v>347</v>
      </c>
      <c r="C35" s="112">
        <f>Bilance!E62</f>
        <v>252133</v>
      </c>
    </row>
    <row r="36" spans="1:4" x14ac:dyDescent="0.2">
      <c r="A36" s="119"/>
      <c r="B36" s="124" t="s">
        <v>56</v>
      </c>
      <c r="C36" s="121">
        <f>SUM(C34:C35)</f>
        <v>2589026</v>
      </c>
    </row>
    <row r="37" spans="1:4" x14ac:dyDescent="0.2">
      <c r="A37" s="119"/>
      <c r="B37" s="124" t="s">
        <v>74</v>
      </c>
      <c r="C37" s="121">
        <f>C31-C36</f>
        <v>-2536876</v>
      </c>
    </row>
    <row r="41" spans="1:4" x14ac:dyDescent="0.2">
      <c r="D41" s="95" t="s">
        <v>60</v>
      </c>
    </row>
    <row r="42" spans="1:4" x14ac:dyDescent="0.2">
      <c r="A42" s="97"/>
      <c r="B42" s="97"/>
      <c r="C42" s="406" t="s">
        <v>61</v>
      </c>
      <c r="D42" s="407"/>
    </row>
    <row r="43" spans="1:4" x14ac:dyDescent="0.2">
      <c r="A43" s="98" t="s">
        <v>1</v>
      </c>
      <c r="B43" s="98" t="s">
        <v>75</v>
      </c>
      <c r="C43" s="120" t="s">
        <v>63</v>
      </c>
      <c r="D43" s="120" t="s">
        <v>63</v>
      </c>
    </row>
    <row r="44" spans="1:4" x14ac:dyDescent="0.2">
      <c r="A44" s="105"/>
      <c r="B44" s="105"/>
      <c r="C44" s="108" t="s">
        <v>72</v>
      </c>
      <c r="D44" s="108" t="s">
        <v>76</v>
      </c>
    </row>
    <row r="45" spans="1:4" x14ac:dyDescent="0.2">
      <c r="A45" s="99"/>
      <c r="B45" s="99"/>
      <c r="C45" s="111"/>
      <c r="D45" s="111"/>
    </row>
    <row r="46" spans="1:4" x14ac:dyDescent="0.2">
      <c r="A46" s="100"/>
      <c r="B46" s="100" t="s">
        <v>4</v>
      </c>
      <c r="C46" s="111"/>
      <c r="D46" s="111"/>
    </row>
    <row r="47" spans="1:4" x14ac:dyDescent="0.2">
      <c r="A47" s="385" t="s">
        <v>345</v>
      </c>
      <c r="B47" s="105" t="s">
        <v>77</v>
      </c>
      <c r="C47" s="112">
        <f>Bilance!F36+Bilance!F39</f>
        <v>2589026</v>
      </c>
      <c r="D47" s="112">
        <f>Bilance!F37</f>
        <v>580</v>
      </c>
    </row>
    <row r="48" spans="1:4" x14ac:dyDescent="0.2">
      <c r="A48" s="119"/>
      <c r="B48" s="119" t="s">
        <v>54</v>
      </c>
      <c r="C48" s="121">
        <f>SUM(C47:C47)</f>
        <v>2589026</v>
      </c>
      <c r="D48" s="121">
        <f>SUM(D47:D47)</f>
        <v>580</v>
      </c>
    </row>
    <row r="49" spans="1:4" x14ac:dyDescent="0.2">
      <c r="A49" s="99"/>
      <c r="B49" s="99"/>
      <c r="C49" s="111"/>
      <c r="D49" s="111"/>
    </row>
    <row r="50" spans="1:4" x14ac:dyDescent="0.2">
      <c r="A50" s="100"/>
      <c r="B50" s="100" t="s">
        <v>32</v>
      </c>
      <c r="C50" s="111"/>
      <c r="D50" s="111"/>
    </row>
    <row r="51" spans="1:4" x14ac:dyDescent="0.2">
      <c r="A51" s="99">
        <v>5347</v>
      </c>
      <c r="B51" s="99" t="s">
        <v>436</v>
      </c>
      <c r="C51" s="111"/>
      <c r="D51" s="111">
        <f>Bilance!F55</f>
        <v>580</v>
      </c>
    </row>
    <row r="52" spans="1:4" x14ac:dyDescent="0.2">
      <c r="A52" s="105">
        <v>5347</v>
      </c>
      <c r="B52" s="105" t="s">
        <v>78</v>
      </c>
      <c r="C52" s="112">
        <f>Bilance!F56</f>
        <v>52150</v>
      </c>
      <c r="D52" s="112"/>
    </row>
    <row r="53" spans="1:4" x14ac:dyDescent="0.2">
      <c r="A53" s="119"/>
      <c r="B53" s="119" t="s">
        <v>56</v>
      </c>
      <c r="C53" s="121">
        <f>SUM(C51:C52)</f>
        <v>52150</v>
      </c>
      <c r="D53" s="121">
        <f>SUM(D51:D52)</f>
        <v>580</v>
      </c>
    </row>
    <row r="54" spans="1:4" x14ac:dyDescent="0.2">
      <c r="A54" s="119"/>
      <c r="B54" s="119" t="s">
        <v>74</v>
      </c>
      <c r="C54" s="121">
        <f>C48-C53</f>
        <v>2536876</v>
      </c>
      <c r="D54" s="121">
        <f>D48-D53</f>
        <v>0</v>
      </c>
    </row>
    <row r="56" spans="1:4" x14ac:dyDescent="0.2">
      <c r="C56" s="96"/>
    </row>
  </sheetData>
  <mergeCells count="6">
    <mergeCell ref="C42:D42"/>
    <mergeCell ref="A1:D1"/>
    <mergeCell ref="A3:D3"/>
    <mergeCell ref="A2:D2"/>
    <mergeCell ref="A5:D5"/>
    <mergeCell ref="C8:D8"/>
  </mergeCells>
  <printOptions horizontalCentered="1"/>
  <pageMargins left="0.78740157480314965" right="0.78740157480314965" top="0.72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showZeros="0" zoomScaleNormal="100" zoomScaleSheetLayoutView="100" workbookViewId="0">
      <selection activeCell="C14" sqref="C14"/>
    </sheetView>
  </sheetViews>
  <sheetFormatPr defaultRowHeight="12.75" x14ac:dyDescent="0.2"/>
  <cols>
    <col min="1" max="1" width="8.28515625" style="93" customWidth="1"/>
    <col min="2" max="2" width="49.28515625" style="93" customWidth="1"/>
    <col min="3" max="3" width="15.85546875" style="93" customWidth="1"/>
    <col min="4" max="5" width="14.7109375" style="93" customWidth="1"/>
    <col min="6" max="6" width="15.42578125" style="93" customWidth="1"/>
    <col min="7" max="7" width="13.42578125" style="93" customWidth="1"/>
    <col min="8" max="8" width="14" style="93" customWidth="1"/>
    <col min="9" max="12" width="9.140625" style="93"/>
    <col min="13" max="13" width="21.42578125" style="93" bestFit="1" customWidth="1"/>
    <col min="14" max="16384" width="9.140625" style="93"/>
  </cols>
  <sheetData>
    <row r="1" spans="1:14" ht="18.75" x14ac:dyDescent="0.3">
      <c r="A1" s="408" t="s">
        <v>445</v>
      </c>
      <c r="B1" s="408"/>
      <c r="C1" s="408"/>
      <c r="D1" s="408"/>
      <c r="E1" s="408"/>
      <c r="F1" s="408"/>
      <c r="G1" s="408"/>
      <c r="H1" s="408"/>
    </row>
    <row r="2" spans="1:14" ht="9" customHeight="1" x14ac:dyDescent="0.2">
      <c r="A2" s="125"/>
      <c r="B2" s="94"/>
      <c r="C2" s="94"/>
    </row>
    <row r="3" spans="1:14" ht="13.5" thickBot="1" x14ac:dyDescent="0.25"/>
    <row r="4" spans="1:14" ht="26.25" thickBot="1" x14ac:dyDescent="0.25">
      <c r="A4" s="150" t="s">
        <v>81</v>
      </c>
      <c r="B4" s="126" t="s">
        <v>82</v>
      </c>
      <c r="C4" s="127" t="s">
        <v>80</v>
      </c>
      <c r="D4" s="128" t="s">
        <v>6</v>
      </c>
      <c r="E4" s="129" t="s">
        <v>7</v>
      </c>
      <c r="F4" s="109"/>
      <c r="M4" s="362" t="s">
        <v>300</v>
      </c>
      <c r="N4" s="362" t="s">
        <v>301</v>
      </c>
    </row>
    <row r="5" spans="1:14" ht="15" x14ac:dyDescent="0.25">
      <c r="A5" s="160">
        <v>1</v>
      </c>
      <c r="B5" s="161" t="s">
        <v>83</v>
      </c>
      <c r="C5" s="162">
        <f>+'Daňové a Transfery'!E35</f>
        <v>16255358</v>
      </c>
      <c r="D5" s="163">
        <f>+'Daňové a Transfery'!F35</f>
        <v>16029707</v>
      </c>
      <c r="E5" s="164">
        <f>+'Daňové a Transfery'!G35</f>
        <v>225651</v>
      </c>
      <c r="F5" s="134"/>
      <c r="G5" s="96"/>
      <c r="M5" s="363" t="s">
        <v>83</v>
      </c>
      <c r="N5" s="364">
        <f>C5/1000</f>
        <v>16255.358</v>
      </c>
    </row>
    <row r="6" spans="1:14" ht="15" x14ac:dyDescent="0.25">
      <c r="A6" s="165">
        <v>2</v>
      </c>
      <c r="B6" s="166" t="s">
        <v>84</v>
      </c>
      <c r="C6" s="167">
        <f>+'N a K'!E118</f>
        <v>1058822</v>
      </c>
      <c r="D6" s="168">
        <f>+D33</f>
        <v>840901</v>
      </c>
      <c r="E6" s="169">
        <f>+'N a K'!G118</f>
        <v>217921</v>
      </c>
      <c r="F6" s="134"/>
      <c r="G6" s="96"/>
      <c r="M6" s="363" t="s">
        <v>84</v>
      </c>
      <c r="N6" s="364">
        <f t="shared" ref="N6:N8" si="0">C6/1000</f>
        <v>1058.8219999999999</v>
      </c>
    </row>
    <row r="7" spans="1:14" ht="15" x14ac:dyDescent="0.25">
      <c r="A7" s="165">
        <v>3</v>
      </c>
      <c r="B7" s="166" t="s">
        <v>85</v>
      </c>
      <c r="C7" s="167">
        <f>+'N a K'!H118</f>
        <v>471150</v>
      </c>
      <c r="D7" s="168">
        <f>+G33</f>
        <v>471100</v>
      </c>
      <c r="E7" s="169">
        <f>+'N a K'!J118</f>
        <v>50</v>
      </c>
      <c r="F7" s="134"/>
      <c r="G7" s="96"/>
      <c r="M7" s="363" t="s">
        <v>85</v>
      </c>
      <c r="N7" s="364">
        <f t="shared" si="0"/>
        <v>471.15</v>
      </c>
    </row>
    <row r="8" spans="1:14" ht="15.75" thickBot="1" x14ac:dyDescent="0.3">
      <c r="A8" s="170">
        <v>4</v>
      </c>
      <c r="B8" s="171" t="s">
        <v>86</v>
      </c>
      <c r="C8" s="172">
        <f>+'Daňové a Transfery'!E57</f>
        <v>1900475</v>
      </c>
      <c r="D8" s="173">
        <f>+'Daňové a Transfery'!F57</f>
        <v>1213507</v>
      </c>
      <c r="E8" s="174">
        <f>+'Daňové a Transfery'!G57</f>
        <v>3328724</v>
      </c>
      <c r="F8" s="134"/>
      <c r="G8" s="96"/>
      <c r="M8" s="363" t="s">
        <v>299</v>
      </c>
      <c r="N8" s="364">
        <f t="shared" si="0"/>
        <v>1900.4749999999999</v>
      </c>
    </row>
    <row r="9" spans="1:14" ht="15.75" thickBot="1" x14ac:dyDescent="0.3">
      <c r="A9" s="175"/>
      <c r="B9" s="176" t="s">
        <v>87</v>
      </c>
      <c r="C9" s="177">
        <f>SUM(C5:C8)</f>
        <v>19685805</v>
      </c>
      <c r="D9" s="178">
        <f>SUM(D5:D8)</f>
        <v>18555215</v>
      </c>
      <c r="E9" s="179">
        <f>SUM(E5:E8)</f>
        <v>3772346</v>
      </c>
      <c r="F9" s="139"/>
      <c r="G9" s="96"/>
      <c r="M9" s="363"/>
      <c r="N9" s="364">
        <f>SUM(N5:N8)</f>
        <v>19685.805</v>
      </c>
    </row>
    <row r="10" spans="1:14" x14ac:dyDescent="0.2">
      <c r="D10" s="96"/>
    </row>
    <row r="11" spans="1:14" ht="13.5" thickBot="1" x14ac:dyDescent="0.25"/>
    <row r="12" spans="1:14" x14ac:dyDescent="0.2">
      <c r="A12" s="413" t="s">
        <v>88</v>
      </c>
      <c r="B12" s="415" t="s">
        <v>89</v>
      </c>
      <c r="C12" s="140" t="s">
        <v>90</v>
      </c>
      <c r="D12" s="141"/>
      <c r="E12" s="142"/>
      <c r="F12" s="140" t="s">
        <v>91</v>
      </c>
      <c r="G12" s="141"/>
      <c r="H12" s="143"/>
    </row>
    <row r="13" spans="1:14" ht="26.25" thickBot="1" x14ac:dyDescent="0.25">
      <c r="A13" s="414"/>
      <c r="B13" s="416"/>
      <c r="C13" s="144" t="s">
        <v>80</v>
      </c>
      <c r="D13" s="145" t="s">
        <v>6</v>
      </c>
      <c r="E13" s="145" t="s">
        <v>7</v>
      </c>
      <c r="F13" s="144" t="s">
        <v>80</v>
      </c>
      <c r="G13" s="145" t="s">
        <v>6</v>
      </c>
      <c r="H13" s="146" t="s">
        <v>7</v>
      </c>
    </row>
    <row r="14" spans="1:14" x14ac:dyDescent="0.2">
      <c r="A14" s="147"/>
      <c r="B14" s="130" t="s">
        <v>92</v>
      </c>
      <c r="C14" s="131">
        <f>+'N a K'!E9</f>
        <v>213126</v>
      </c>
      <c r="D14" s="132">
        <f>+'N a K'!F9</f>
        <v>212939</v>
      </c>
      <c r="E14" s="132">
        <f>+'N a K'!G9</f>
        <v>187</v>
      </c>
      <c r="F14" s="131">
        <f>+'N a K'!H9</f>
        <v>0</v>
      </c>
      <c r="G14" s="132">
        <f>+'N a K'!I9</f>
        <v>0</v>
      </c>
      <c r="H14" s="133">
        <f>+'N a K'!J9</f>
        <v>0</v>
      </c>
    </row>
    <row r="15" spans="1:14" x14ac:dyDescent="0.2">
      <c r="A15" s="138" t="s">
        <v>93</v>
      </c>
      <c r="B15" s="135" t="s">
        <v>397</v>
      </c>
      <c r="C15" s="148">
        <f>+'N a K'!E16</f>
        <v>28465</v>
      </c>
      <c r="D15" s="136">
        <f>+'N a K'!F16</f>
        <v>12723</v>
      </c>
      <c r="E15" s="136">
        <f>+'N a K'!G16</f>
        <v>15742</v>
      </c>
      <c r="F15" s="148">
        <f>+'N a K'!H16</f>
        <v>0</v>
      </c>
      <c r="G15" s="136">
        <f>+'N a K'!I16</f>
        <v>0</v>
      </c>
      <c r="H15" s="137">
        <f>+'N a K'!J16</f>
        <v>0</v>
      </c>
    </row>
    <row r="16" spans="1:14" x14ac:dyDescent="0.2">
      <c r="A16" s="138" t="s">
        <v>95</v>
      </c>
      <c r="B16" s="135" t="s">
        <v>96</v>
      </c>
      <c r="C16" s="148">
        <f>+'N a K'!E24</f>
        <v>3001</v>
      </c>
      <c r="D16" s="136">
        <f>+'N a K'!F24</f>
        <v>0</v>
      </c>
      <c r="E16" s="136">
        <f>+'N a K'!G24</f>
        <v>3001</v>
      </c>
      <c r="F16" s="148">
        <f>+'N a K'!H24</f>
        <v>0</v>
      </c>
      <c r="G16" s="136">
        <f>+'N a K'!I24</f>
        <v>0</v>
      </c>
      <c r="H16" s="137">
        <f>+'N a K'!J24</f>
        <v>0</v>
      </c>
    </row>
    <row r="17" spans="1:8" x14ac:dyDescent="0.2">
      <c r="A17" s="138" t="s">
        <v>97</v>
      </c>
      <c r="B17" s="135" t="s">
        <v>98</v>
      </c>
      <c r="C17" s="148">
        <f>+'N a K'!E31</f>
        <v>176056</v>
      </c>
      <c r="D17" s="136">
        <f>+'N a K'!F31</f>
        <v>176031</v>
      </c>
      <c r="E17" s="136">
        <f>+'N a K'!G31</f>
        <v>25</v>
      </c>
      <c r="F17" s="148">
        <f>+'N a K'!H31</f>
        <v>0</v>
      </c>
      <c r="G17" s="136">
        <f>+'N a K'!I31</f>
        <v>0</v>
      </c>
      <c r="H17" s="137">
        <f>+'N a K'!J31</f>
        <v>0</v>
      </c>
    </row>
    <row r="18" spans="1:8" x14ac:dyDescent="0.2">
      <c r="A18" s="138" t="s">
        <v>99</v>
      </c>
      <c r="B18" s="135" t="s">
        <v>100</v>
      </c>
      <c r="C18" s="148">
        <f>+'N a K'!E35</f>
        <v>1150</v>
      </c>
      <c r="D18" s="136">
        <f>+'N a K'!F35</f>
        <v>1150</v>
      </c>
      <c r="E18" s="136">
        <f>+'N a K'!G35</f>
        <v>0</v>
      </c>
      <c r="F18" s="148">
        <f>+'N a K'!H35</f>
        <v>0</v>
      </c>
      <c r="G18" s="136">
        <f>+'N a K'!I35</f>
        <v>0</v>
      </c>
      <c r="H18" s="137">
        <f>+'N a K'!J35</f>
        <v>0</v>
      </c>
    </row>
    <row r="19" spans="1:8" x14ac:dyDescent="0.2">
      <c r="A19" s="149">
        <v>24</v>
      </c>
      <c r="B19" s="135" t="s">
        <v>316</v>
      </c>
      <c r="C19" s="148">
        <f>'N a K'!E39</f>
        <v>265</v>
      </c>
      <c r="D19" s="136">
        <f>'N a K'!F39</f>
        <v>0</v>
      </c>
      <c r="E19" s="136">
        <f>'N a K'!G39</f>
        <v>265</v>
      </c>
      <c r="F19" s="148">
        <f>'N a K'!H39</f>
        <v>0</v>
      </c>
      <c r="G19" s="136">
        <f>'N a K'!I39</f>
        <v>0</v>
      </c>
      <c r="H19" s="137">
        <f>'N a K'!J39</f>
        <v>0</v>
      </c>
    </row>
    <row r="20" spans="1:8" x14ac:dyDescent="0.2">
      <c r="A20" s="138" t="s">
        <v>101</v>
      </c>
      <c r="B20" s="135" t="s">
        <v>102</v>
      </c>
      <c r="C20" s="148">
        <f>+'N a K'!E48</f>
        <v>27104</v>
      </c>
      <c r="D20" s="136">
        <f>+'N a K'!F48</f>
        <v>6831</v>
      </c>
      <c r="E20" s="136">
        <f>+'N a K'!G48</f>
        <v>20273</v>
      </c>
      <c r="F20" s="148">
        <f>+'N a K'!H48</f>
        <v>0</v>
      </c>
      <c r="G20" s="136">
        <f>+'N a K'!I48</f>
        <v>0</v>
      </c>
      <c r="H20" s="137">
        <f>+'N a K'!J48</f>
        <v>0</v>
      </c>
    </row>
    <row r="21" spans="1:8" x14ac:dyDescent="0.2">
      <c r="A21" s="138" t="s">
        <v>103</v>
      </c>
      <c r="B21" s="135" t="s">
        <v>104</v>
      </c>
      <c r="C21" s="148">
        <f>+'N a K'!E60</f>
        <v>120215</v>
      </c>
      <c r="D21" s="136">
        <f>+'N a K'!F60</f>
        <v>95126</v>
      </c>
      <c r="E21" s="136">
        <f>+'N a K'!G60</f>
        <v>25089</v>
      </c>
      <c r="F21" s="148">
        <f>+'N a K'!H60</f>
        <v>0</v>
      </c>
      <c r="G21" s="136">
        <f>+'N a K'!I60</f>
        <v>0</v>
      </c>
      <c r="H21" s="137">
        <f>+'N a K'!J60</f>
        <v>0</v>
      </c>
    </row>
    <row r="22" spans="1:8" x14ac:dyDescent="0.2">
      <c r="A22" s="138" t="s">
        <v>105</v>
      </c>
      <c r="B22" s="135" t="s">
        <v>398</v>
      </c>
      <c r="C22" s="148">
        <f>+'N a K'!E64</f>
        <v>7826</v>
      </c>
      <c r="D22" s="136">
        <f>+'N a K'!F64</f>
        <v>1205</v>
      </c>
      <c r="E22" s="136">
        <f>+'N a K'!G64</f>
        <v>6621</v>
      </c>
      <c r="F22" s="148">
        <f>+'N a K'!H64</f>
        <v>0</v>
      </c>
      <c r="G22" s="136">
        <f>+'N a K'!I64</f>
        <v>0</v>
      </c>
      <c r="H22" s="137">
        <f>+'N a K'!J64</f>
        <v>0</v>
      </c>
    </row>
    <row r="23" spans="1:8" x14ac:dyDescent="0.2">
      <c r="A23" s="138" t="s">
        <v>106</v>
      </c>
      <c r="B23" s="135" t="s">
        <v>107</v>
      </c>
      <c r="C23" s="148">
        <f>+'N a K'!E68</f>
        <v>14556</v>
      </c>
      <c r="D23" s="136">
        <f>+'N a K'!F68</f>
        <v>4114</v>
      </c>
      <c r="E23" s="136">
        <f>+'N a K'!G68</f>
        <v>10442</v>
      </c>
      <c r="F23" s="148">
        <f>+'N a K'!H68</f>
        <v>0</v>
      </c>
      <c r="G23" s="136">
        <f>+'N a K'!I68</f>
        <v>0</v>
      </c>
      <c r="H23" s="137">
        <f>+'N a K'!J68</f>
        <v>0</v>
      </c>
    </row>
    <row r="24" spans="1:8" x14ac:dyDescent="0.2">
      <c r="A24" s="138" t="s">
        <v>108</v>
      </c>
      <c r="B24" s="135" t="s">
        <v>109</v>
      </c>
      <c r="C24" s="148">
        <f>+'N a K'!E78</f>
        <v>298902</v>
      </c>
      <c r="D24" s="136">
        <f>+'N a K'!F78</f>
        <v>226010</v>
      </c>
      <c r="E24" s="136">
        <f>+'N a K'!G78</f>
        <v>72892</v>
      </c>
      <c r="F24" s="148">
        <f>+'N a K'!H78</f>
        <v>471000</v>
      </c>
      <c r="G24" s="136">
        <f>+'N a K'!I78</f>
        <v>471000</v>
      </c>
      <c r="H24" s="137">
        <f>+'N a K'!J78</f>
        <v>0</v>
      </c>
    </row>
    <row r="25" spans="1:8" x14ac:dyDescent="0.2">
      <c r="A25" s="138" t="s">
        <v>110</v>
      </c>
      <c r="B25" s="135" t="s">
        <v>111</v>
      </c>
      <c r="C25" s="148">
        <f>+'N a K'!E83</f>
        <v>2266</v>
      </c>
      <c r="D25" s="136">
        <f>+'N a K'!F83</f>
        <v>1165</v>
      </c>
      <c r="E25" s="136">
        <f>+'N a K'!G83</f>
        <v>1101</v>
      </c>
      <c r="F25" s="148">
        <f>+'N a K'!H83</f>
        <v>0</v>
      </c>
      <c r="G25" s="136">
        <f>+'N a K'!I83</f>
        <v>0</v>
      </c>
      <c r="H25" s="137">
        <f>+'N a K'!J83</f>
        <v>0</v>
      </c>
    </row>
    <row r="26" spans="1:8" x14ac:dyDescent="0.2">
      <c r="A26" s="138" t="s">
        <v>112</v>
      </c>
      <c r="B26" s="135" t="s">
        <v>399</v>
      </c>
      <c r="C26" s="148">
        <f>+'N a K'!E92</f>
        <v>1831</v>
      </c>
      <c r="D26" s="136">
        <f>+'N a K'!F92</f>
        <v>813</v>
      </c>
      <c r="E26" s="136">
        <f>+'N a K'!G92</f>
        <v>1018</v>
      </c>
      <c r="F26" s="148">
        <f>+'N a K'!H92</f>
        <v>0</v>
      </c>
      <c r="G26" s="136">
        <f>+'N a K'!I92</f>
        <v>0</v>
      </c>
      <c r="H26" s="137">
        <f>+'N a K'!J92</f>
        <v>0</v>
      </c>
    </row>
    <row r="27" spans="1:8" x14ac:dyDescent="0.2">
      <c r="A27" s="149">
        <v>51</v>
      </c>
      <c r="B27" s="135" t="s">
        <v>453</v>
      </c>
      <c r="C27" s="148">
        <f>+'N a K'!E97</f>
        <v>80</v>
      </c>
      <c r="D27" s="136">
        <f>+'N a K'!F97</f>
        <v>80</v>
      </c>
      <c r="E27" s="136">
        <f>+'N a K'!G97</f>
        <v>0</v>
      </c>
      <c r="F27" s="148">
        <f>+'N a K'!H97</f>
        <v>0</v>
      </c>
      <c r="G27" s="136">
        <f>+'N a K'!I97</f>
        <v>0</v>
      </c>
      <c r="H27" s="137">
        <f>+'N a K'!J97</f>
        <v>0</v>
      </c>
    </row>
    <row r="28" spans="1:8" x14ac:dyDescent="0.2">
      <c r="A28" s="138" t="s">
        <v>113</v>
      </c>
      <c r="B28" s="135" t="s">
        <v>114</v>
      </c>
      <c r="C28" s="148">
        <f>+'N a K'!E100</f>
        <v>22866</v>
      </c>
      <c r="D28" s="136">
        <f>+'N a K'!F100</f>
        <v>22706</v>
      </c>
      <c r="E28" s="136">
        <f>+'N a K'!G100</f>
        <v>160</v>
      </c>
      <c r="F28" s="148">
        <f>+'N a K'!H100</f>
        <v>100</v>
      </c>
      <c r="G28" s="136">
        <f>+'N a K'!I100</f>
        <v>100</v>
      </c>
      <c r="H28" s="137">
        <f>+'N a K'!J100</f>
        <v>0</v>
      </c>
    </row>
    <row r="29" spans="1:8" x14ac:dyDescent="0.2">
      <c r="A29" s="149">
        <v>55</v>
      </c>
      <c r="B29" s="135" t="s">
        <v>115</v>
      </c>
      <c r="C29" s="148">
        <f>+'N a K'!E103</f>
        <v>246</v>
      </c>
      <c r="D29" s="136">
        <f>+'N a K'!F103</f>
        <v>0</v>
      </c>
      <c r="E29" s="136">
        <f>+'N a K'!G103</f>
        <v>246</v>
      </c>
      <c r="F29" s="148">
        <f>+'N a K'!H103</f>
        <v>0</v>
      </c>
      <c r="G29" s="136">
        <f>+'N a K'!I103</f>
        <v>0</v>
      </c>
      <c r="H29" s="137">
        <f>+'N a K'!J103</f>
        <v>0</v>
      </c>
    </row>
    <row r="30" spans="1:8" x14ac:dyDescent="0.2">
      <c r="A30" s="138" t="s">
        <v>116</v>
      </c>
      <c r="B30" s="135" t="s">
        <v>400</v>
      </c>
      <c r="C30" s="148">
        <f>+'N a K'!E108</f>
        <v>46872</v>
      </c>
      <c r="D30" s="136">
        <f>+'N a K'!F108</f>
        <v>13668</v>
      </c>
      <c r="E30" s="136">
        <f>+'N a K'!G108</f>
        <v>33204</v>
      </c>
      <c r="F30" s="148">
        <f>+'N a K'!H108</f>
        <v>50</v>
      </c>
      <c r="G30" s="136">
        <f>+'N a K'!I108</f>
        <v>0</v>
      </c>
      <c r="H30" s="137">
        <f>+'N a K'!J108</f>
        <v>50</v>
      </c>
    </row>
    <row r="31" spans="1:8" x14ac:dyDescent="0.2">
      <c r="A31" s="138" t="s">
        <v>118</v>
      </c>
      <c r="B31" s="135" t="s">
        <v>119</v>
      </c>
      <c r="C31" s="148">
        <f>+'N a K'!E111</f>
        <v>30</v>
      </c>
      <c r="D31" s="136">
        <f>+'N a K'!F111</f>
        <v>30</v>
      </c>
      <c r="E31" s="136">
        <f>+'N a K'!G111</f>
        <v>0</v>
      </c>
      <c r="F31" s="148">
        <f>+'N a K'!H111</f>
        <v>0</v>
      </c>
      <c r="G31" s="136">
        <f>+'N a K'!I111</f>
        <v>0</v>
      </c>
      <c r="H31" s="137">
        <f>+'N a K'!J111</f>
        <v>0</v>
      </c>
    </row>
    <row r="32" spans="1:8" ht="13.5" thickBot="1" x14ac:dyDescent="0.25">
      <c r="A32" s="157" t="s">
        <v>120</v>
      </c>
      <c r="B32" s="151" t="s">
        <v>121</v>
      </c>
      <c r="C32" s="158">
        <f>+'N a K'!E114</f>
        <v>93965</v>
      </c>
      <c r="D32" s="110">
        <f>+'N a K'!F114</f>
        <v>66310</v>
      </c>
      <c r="E32" s="110">
        <f>+'N a K'!G114</f>
        <v>27655</v>
      </c>
      <c r="F32" s="158">
        <f>+'N a K'!H114</f>
        <v>0</v>
      </c>
      <c r="G32" s="110">
        <f>+'N a K'!I114</f>
        <v>0</v>
      </c>
      <c r="H32" s="152">
        <f>+'N a K'!J114</f>
        <v>0</v>
      </c>
    </row>
    <row r="33" spans="1:8" ht="13.5" thickBot="1" x14ac:dyDescent="0.25">
      <c r="A33" s="159"/>
      <c r="B33" s="153" t="s">
        <v>87</v>
      </c>
      <c r="C33" s="154">
        <f>SUM(C14:C32)</f>
        <v>1058822</v>
      </c>
      <c r="D33" s="155">
        <f t="shared" ref="D33:H33" si="1">SUM(D14:D32)</f>
        <v>840901</v>
      </c>
      <c r="E33" s="155">
        <f t="shared" si="1"/>
        <v>217921</v>
      </c>
      <c r="F33" s="154">
        <f t="shared" si="1"/>
        <v>471150</v>
      </c>
      <c r="G33" s="155">
        <f t="shared" si="1"/>
        <v>471100</v>
      </c>
      <c r="H33" s="156">
        <f t="shared" si="1"/>
        <v>50</v>
      </c>
    </row>
    <row r="34" spans="1:8" x14ac:dyDescent="0.2">
      <c r="H34" s="96"/>
    </row>
    <row r="35" spans="1:8" x14ac:dyDescent="0.2">
      <c r="A35" s="93" t="s">
        <v>122</v>
      </c>
    </row>
  </sheetData>
  <mergeCells count="3">
    <mergeCell ref="A12:A13"/>
    <mergeCell ref="B12:B13"/>
    <mergeCell ref="A1:H1"/>
  </mergeCells>
  <printOptions horizontalCentered="1" verticalCentered="1"/>
  <pageMargins left="0.6692913385826772" right="0.6692913385826772" top="0.82677165354330717" bottom="0.43307086614173229" header="0.59055118110236227" footer="0.31496062992125984"/>
  <pageSetup paperSize="9" scale="99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C14" sqref="C14"/>
    </sheetView>
  </sheetViews>
  <sheetFormatPr defaultRowHeight="12.75" x14ac:dyDescent="0.2"/>
  <sheetData/>
  <pageMargins left="0.47" right="0.42" top="0.78740157499999996" bottom="0.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2"/>
  <sheetViews>
    <sheetView showZeros="0" zoomScaleNormal="100" zoomScaleSheetLayoutView="100" workbookViewId="0">
      <pane ySplit="5" topLeftCell="A6" activePane="bottomLeft" state="frozen"/>
      <selection activeCell="C14" sqref="C14"/>
      <selection pane="bottomLeft" activeCell="C14" sqref="C14"/>
    </sheetView>
  </sheetViews>
  <sheetFormatPr defaultRowHeight="12.75" x14ac:dyDescent="0.2"/>
  <cols>
    <col min="1" max="1" width="5.42578125" style="93" customWidth="1"/>
    <col min="2" max="2" width="6" style="93" bestFit="1" customWidth="1"/>
    <col min="3" max="3" width="7.140625" style="93" customWidth="1"/>
    <col min="4" max="4" width="58.28515625" style="93" customWidth="1"/>
    <col min="5" max="5" width="13" style="93" customWidth="1"/>
    <col min="6" max="6" width="11.140625" style="93" customWidth="1"/>
    <col min="7" max="7" width="12.42578125" style="93" customWidth="1"/>
    <col min="8" max="16384" width="9.140625" style="93"/>
  </cols>
  <sheetData>
    <row r="1" spans="1:7" ht="18.75" x14ac:dyDescent="0.3">
      <c r="A1" s="408" t="s">
        <v>446</v>
      </c>
      <c r="B1" s="408"/>
      <c r="C1" s="408"/>
      <c r="D1" s="408"/>
      <c r="E1" s="408"/>
      <c r="F1" s="408"/>
      <c r="G1" s="408"/>
    </row>
    <row r="2" spans="1:7" ht="15" x14ac:dyDescent="0.2">
      <c r="A2" s="417" t="s">
        <v>293</v>
      </c>
      <c r="B2" s="417"/>
      <c r="C2" s="417"/>
      <c r="D2" s="417"/>
      <c r="E2" s="417"/>
      <c r="F2" s="417"/>
      <c r="G2" s="417"/>
    </row>
    <row r="3" spans="1:7" x14ac:dyDescent="0.2">
      <c r="G3" s="207" t="s">
        <v>292</v>
      </c>
    </row>
    <row r="4" spans="1:7" x14ac:dyDescent="0.2">
      <c r="A4" s="418" t="s">
        <v>123</v>
      </c>
      <c r="B4" s="418" t="s">
        <v>289</v>
      </c>
      <c r="C4" s="418" t="s">
        <v>124</v>
      </c>
      <c r="D4" s="418" t="s">
        <v>125</v>
      </c>
      <c r="E4" s="418" t="s">
        <v>80</v>
      </c>
      <c r="F4" s="418" t="s">
        <v>6</v>
      </c>
      <c r="G4" s="418" t="s">
        <v>7</v>
      </c>
    </row>
    <row r="5" spans="1:7" x14ac:dyDescent="0.2">
      <c r="A5" s="418"/>
      <c r="B5" s="418"/>
      <c r="C5" s="418"/>
      <c r="D5" s="418"/>
      <c r="E5" s="418"/>
      <c r="F5" s="418"/>
      <c r="G5" s="418"/>
    </row>
    <row r="6" spans="1:7" x14ac:dyDescent="0.2">
      <c r="A6" s="194"/>
      <c r="B6" s="194"/>
      <c r="C6" s="194"/>
      <c r="D6" s="195"/>
      <c r="E6" s="195"/>
      <c r="F6" s="195"/>
      <c r="G6" s="195"/>
    </row>
    <row r="7" spans="1:7" x14ac:dyDescent="0.2">
      <c r="A7" s="181">
        <v>1</v>
      </c>
      <c r="B7" s="181">
        <v>11</v>
      </c>
      <c r="C7" s="181">
        <v>1111</v>
      </c>
      <c r="D7" s="181" t="str">
        <f>Bilance!C6</f>
        <v>Příjem z daně z příjmů fyzických osob placené plátci</v>
      </c>
      <c r="E7" s="196">
        <f>+F7+G7</f>
        <v>2570000</v>
      </c>
      <c r="F7" s="196">
        <f>Bilance!E6</f>
        <v>2570000</v>
      </c>
      <c r="G7" s="196"/>
    </row>
    <row r="8" spans="1:7" x14ac:dyDescent="0.2">
      <c r="A8" s="181">
        <v>1</v>
      </c>
      <c r="B8" s="181">
        <v>11</v>
      </c>
      <c r="C8" s="181">
        <v>1112</v>
      </c>
      <c r="D8" s="181" t="str">
        <f>Bilance!C7</f>
        <v>Příjem z daně z příjmů fyzických osob placené poplatníky</v>
      </c>
      <c r="E8" s="196">
        <f t="shared" ref="E8:E33" si="0">+F8+G8</f>
        <v>180000</v>
      </c>
      <c r="F8" s="196">
        <f>Bilance!E7</f>
        <v>180000</v>
      </c>
      <c r="G8" s="196"/>
    </row>
    <row r="9" spans="1:7" x14ac:dyDescent="0.2">
      <c r="A9" s="181">
        <v>1</v>
      </c>
      <c r="B9" s="181">
        <v>11</v>
      </c>
      <c r="C9" s="181">
        <v>1113</v>
      </c>
      <c r="D9" s="181" t="str">
        <f>Bilance!C8</f>
        <v>Příjem z daně z příjmů fyzických osob vybírané srážkou</v>
      </c>
      <c r="E9" s="196">
        <f t="shared" si="0"/>
        <v>490000</v>
      </c>
      <c r="F9" s="196">
        <f>Bilance!E8</f>
        <v>490000</v>
      </c>
      <c r="G9" s="196"/>
    </row>
    <row r="10" spans="1:7" x14ac:dyDescent="0.2">
      <c r="A10" s="181">
        <v>1</v>
      </c>
      <c r="B10" s="181">
        <v>11</v>
      </c>
      <c r="C10" s="181">
        <v>1121</v>
      </c>
      <c r="D10" s="181" t="str">
        <f>Bilance!C9</f>
        <v xml:space="preserve">Příjem z daně z příjmů právnických osob </v>
      </c>
      <c r="E10" s="196">
        <f t="shared" si="0"/>
        <v>4010000</v>
      </c>
      <c r="F10" s="196">
        <f>Bilance!E9</f>
        <v>4010000</v>
      </c>
      <c r="G10" s="196"/>
    </row>
    <row r="11" spans="1:7" x14ac:dyDescent="0.2">
      <c r="A11" s="181">
        <v>1</v>
      </c>
      <c r="B11" s="181">
        <v>11</v>
      </c>
      <c r="C11" s="181">
        <v>1122</v>
      </c>
      <c r="D11" s="181" t="s">
        <v>465</v>
      </c>
      <c r="E11" s="196">
        <f t="shared" si="0"/>
        <v>83493</v>
      </c>
      <c r="F11" s="196"/>
      <c r="G11" s="196">
        <f>Bilance!F13</f>
        <v>83493</v>
      </c>
    </row>
    <row r="12" spans="1:7" ht="15" x14ac:dyDescent="0.2">
      <c r="A12" s="181">
        <v>1</v>
      </c>
      <c r="B12" s="181">
        <v>11</v>
      </c>
      <c r="C12" s="181">
        <v>1122</v>
      </c>
      <c r="D12" s="181" t="s">
        <v>382</v>
      </c>
      <c r="E12" s="196">
        <f t="shared" si="0"/>
        <v>270126</v>
      </c>
      <c r="F12" s="196">
        <f>Bilance!E14</f>
        <v>250000</v>
      </c>
      <c r="G12" s="196">
        <f>Bilance!F14</f>
        <v>20126</v>
      </c>
    </row>
    <row r="13" spans="1:7" x14ac:dyDescent="0.2">
      <c r="A13" s="197" t="s">
        <v>126</v>
      </c>
      <c r="B13" s="183"/>
      <c r="C13" s="183"/>
      <c r="D13" s="183"/>
      <c r="E13" s="198">
        <f t="shared" si="0"/>
        <v>7603619</v>
      </c>
      <c r="F13" s="198">
        <f>SUM(F7:F12)</f>
        <v>7500000</v>
      </c>
      <c r="G13" s="198">
        <f>SUM(G7:G12)</f>
        <v>103619</v>
      </c>
    </row>
    <row r="14" spans="1:7" x14ac:dyDescent="0.2">
      <c r="A14" s="199"/>
      <c r="B14" s="181"/>
      <c r="C14" s="181"/>
      <c r="D14" s="181"/>
      <c r="E14" s="200"/>
      <c r="F14" s="200"/>
      <c r="G14" s="200"/>
    </row>
    <row r="15" spans="1:7" x14ac:dyDescent="0.2">
      <c r="A15" s="181">
        <v>1</v>
      </c>
      <c r="B15" s="181">
        <v>12</v>
      </c>
      <c r="C15" s="181">
        <v>1211</v>
      </c>
      <c r="D15" s="181" t="str">
        <f>Bilance!C10</f>
        <v>Příjem z daně z přidané hodnoty</v>
      </c>
      <c r="E15" s="196">
        <f t="shared" si="0"/>
        <v>7600000</v>
      </c>
      <c r="F15" s="196">
        <f>Bilance!E10</f>
        <v>7600000</v>
      </c>
      <c r="G15" s="196"/>
    </row>
    <row r="16" spans="1:7" x14ac:dyDescent="0.2">
      <c r="A16" s="197" t="s">
        <v>407</v>
      </c>
      <c r="B16" s="183"/>
      <c r="C16" s="183"/>
      <c r="D16" s="183"/>
      <c r="E16" s="198">
        <f t="shared" si="0"/>
        <v>7600000</v>
      </c>
      <c r="F16" s="198">
        <f>SUM(F15)</f>
        <v>7600000</v>
      </c>
      <c r="G16" s="198"/>
    </row>
    <row r="17" spans="1:7" x14ac:dyDescent="0.2">
      <c r="A17" s="199"/>
      <c r="B17" s="181"/>
      <c r="C17" s="181"/>
      <c r="D17" s="181"/>
      <c r="E17" s="196"/>
      <c r="F17" s="196"/>
      <c r="G17" s="196"/>
    </row>
    <row r="18" spans="1:7" x14ac:dyDescent="0.2">
      <c r="A18" s="181">
        <v>1</v>
      </c>
      <c r="B18" s="181">
        <v>13</v>
      </c>
      <c r="C18" s="181">
        <v>1334</v>
      </c>
      <c r="D18" s="181" t="s">
        <v>383</v>
      </c>
      <c r="E18" s="196">
        <f t="shared" si="0"/>
        <v>2500</v>
      </c>
      <c r="F18" s="196">
        <v>2500</v>
      </c>
      <c r="G18" s="196"/>
    </row>
    <row r="19" spans="1:7" x14ac:dyDescent="0.2">
      <c r="A19" s="181">
        <v>1</v>
      </c>
      <c r="B19" s="181">
        <v>13</v>
      </c>
      <c r="C19" s="181">
        <v>1335</v>
      </c>
      <c r="D19" s="181" t="s">
        <v>384</v>
      </c>
      <c r="E19" s="196">
        <f t="shared" si="0"/>
        <v>45</v>
      </c>
      <c r="F19" s="196">
        <v>45</v>
      </c>
      <c r="G19" s="196"/>
    </row>
    <row r="20" spans="1:7" x14ac:dyDescent="0.2">
      <c r="A20" s="181">
        <v>1</v>
      </c>
      <c r="B20" s="181">
        <v>13</v>
      </c>
      <c r="C20" s="181">
        <v>1341</v>
      </c>
      <c r="D20" s="181" t="s">
        <v>386</v>
      </c>
      <c r="E20" s="196">
        <f t="shared" si="0"/>
        <v>10968</v>
      </c>
      <c r="F20" s="196"/>
      <c r="G20" s="196">
        <v>10968</v>
      </c>
    </row>
    <row r="21" spans="1:7" x14ac:dyDescent="0.2">
      <c r="A21" s="181">
        <v>1</v>
      </c>
      <c r="B21" s="181">
        <v>13</v>
      </c>
      <c r="C21" s="181">
        <v>1342</v>
      </c>
      <c r="D21" s="181" t="s">
        <v>387</v>
      </c>
      <c r="E21" s="196">
        <f t="shared" si="0"/>
        <v>27298</v>
      </c>
      <c r="F21" s="196"/>
      <c r="G21" s="196">
        <v>27298</v>
      </c>
    </row>
    <row r="22" spans="1:7" x14ac:dyDescent="0.2">
      <c r="A22" s="181">
        <v>1</v>
      </c>
      <c r="B22" s="181">
        <v>13</v>
      </c>
      <c r="C22" s="181">
        <v>1343</v>
      </c>
      <c r="D22" s="181" t="s">
        <v>388</v>
      </c>
      <c r="E22" s="196">
        <f t="shared" si="0"/>
        <v>64294</v>
      </c>
      <c r="F22" s="196"/>
      <c r="G22" s="196">
        <v>64294</v>
      </c>
    </row>
    <row r="23" spans="1:7" x14ac:dyDescent="0.2">
      <c r="A23" s="181">
        <v>1</v>
      </c>
      <c r="B23" s="181">
        <v>13</v>
      </c>
      <c r="C23" s="181">
        <v>1344</v>
      </c>
      <c r="D23" s="181" t="s">
        <v>389</v>
      </c>
      <c r="E23" s="196">
        <f t="shared" si="0"/>
        <v>3050</v>
      </c>
      <c r="F23" s="196"/>
      <c r="G23" s="196">
        <v>3050</v>
      </c>
    </row>
    <row r="24" spans="1:7" x14ac:dyDescent="0.2">
      <c r="A24" s="181">
        <v>1</v>
      </c>
      <c r="B24" s="181">
        <v>13</v>
      </c>
      <c r="C24" s="181">
        <v>1345</v>
      </c>
      <c r="D24" s="181" t="s">
        <v>385</v>
      </c>
      <c r="E24" s="196">
        <f>+F24+G24</f>
        <v>227225</v>
      </c>
      <c r="F24" s="196">
        <v>227225</v>
      </c>
      <c r="G24" s="196"/>
    </row>
    <row r="25" spans="1:7" x14ac:dyDescent="0.2">
      <c r="A25" s="181">
        <v>1</v>
      </c>
      <c r="B25" s="181">
        <v>13</v>
      </c>
      <c r="C25" s="181">
        <v>1353</v>
      </c>
      <c r="D25" s="201" t="s">
        <v>390</v>
      </c>
      <c r="E25" s="196">
        <f t="shared" si="0"/>
        <v>3400</v>
      </c>
      <c r="F25" s="196">
        <v>3400</v>
      </c>
      <c r="G25" s="196"/>
    </row>
    <row r="26" spans="1:7" x14ac:dyDescent="0.2">
      <c r="A26" s="181">
        <v>1</v>
      </c>
      <c r="B26" s="181">
        <v>13</v>
      </c>
      <c r="C26" s="181">
        <v>1356</v>
      </c>
      <c r="D26" s="201" t="s">
        <v>391</v>
      </c>
      <c r="E26" s="196">
        <f t="shared" si="0"/>
        <v>300</v>
      </c>
      <c r="F26" s="196">
        <v>300</v>
      </c>
      <c r="G26" s="196"/>
    </row>
    <row r="27" spans="1:7" x14ac:dyDescent="0.2">
      <c r="A27" s="181">
        <v>1</v>
      </c>
      <c r="B27" s="181">
        <v>13</v>
      </c>
      <c r="C27" s="202">
        <v>1361</v>
      </c>
      <c r="D27" s="181" t="s">
        <v>365</v>
      </c>
      <c r="E27" s="196">
        <f>+F27+G27</f>
        <v>92659</v>
      </c>
      <c r="F27" s="196">
        <f>Bilance!E18</f>
        <v>76237</v>
      </c>
      <c r="G27" s="196">
        <f>Bilance!F18</f>
        <v>16422</v>
      </c>
    </row>
    <row r="28" spans="1:7" x14ac:dyDescent="0.2">
      <c r="A28" s="181">
        <v>1</v>
      </c>
      <c r="B28" s="181">
        <v>13</v>
      </c>
      <c r="C28" s="202">
        <v>1381</v>
      </c>
      <c r="D28" s="181" t="s">
        <v>392</v>
      </c>
      <c r="E28" s="196">
        <f>+F28+G28</f>
        <v>110000</v>
      </c>
      <c r="F28" s="196">
        <v>110000</v>
      </c>
      <c r="G28" s="196"/>
    </row>
    <row r="29" spans="1:7" x14ac:dyDescent="0.2">
      <c r="A29" s="181">
        <v>1</v>
      </c>
      <c r="B29" s="181">
        <v>13</v>
      </c>
      <c r="C29" s="202">
        <v>1385</v>
      </c>
      <c r="D29" s="181" t="s">
        <v>393</v>
      </c>
      <c r="E29" s="196">
        <f>+F29+G29</f>
        <v>60000</v>
      </c>
      <c r="F29" s="196">
        <v>60000</v>
      </c>
      <c r="G29" s="196"/>
    </row>
    <row r="30" spans="1:7" x14ac:dyDescent="0.2">
      <c r="A30" s="197" t="s">
        <v>127</v>
      </c>
      <c r="B30" s="183"/>
      <c r="C30" s="183"/>
      <c r="D30" s="203"/>
      <c r="E30" s="198">
        <f t="shared" si="0"/>
        <v>601739</v>
      </c>
      <c r="F30" s="198">
        <f>SUM(F18:F29)</f>
        <v>479707</v>
      </c>
      <c r="G30" s="198">
        <f>SUM(G18:G29)</f>
        <v>122032</v>
      </c>
    </row>
    <row r="31" spans="1:7" x14ac:dyDescent="0.2">
      <c r="A31" s="181"/>
      <c r="B31" s="181"/>
      <c r="C31" s="181"/>
      <c r="D31" s="181"/>
      <c r="E31" s="196"/>
      <c r="F31" s="196"/>
      <c r="G31" s="196"/>
    </row>
    <row r="32" spans="1:7" x14ac:dyDescent="0.2">
      <c r="A32" s="181">
        <v>1</v>
      </c>
      <c r="B32" s="181">
        <v>15</v>
      </c>
      <c r="C32" s="181">
        <v>1511</v>
      </c>
      <c r="D32" s="181" t="str">
        <f>Bilance!C11</f>
        <v>Příjem z daně z nemovitých věcí</v>
      </c>
      <c r="E32" s="196">
        <f t="shared" si="0"/>
        <v>450000</v>
      </c>
      <c r="F32" s="196">
        <f>Bilance!E11</f>
        <v>450000</v>
      </c>
      <c r="G32" s="196"/>
    </row>
    <row r="33" spans="1:7" x14ac:dyDescent="0.2">
      <c r="A33" s="197" t="s">
        <v>408</v>
      </c>
      <c r="B33" s="183"/>
      <c r="C33" s="183"/>
      <c r="D33" s="203"/>
      <c r="E33" s="198">
        <f t="shared" si="0"/>
        <v>450000</v>
      </c>
      <c r="F33" s="198">
        <f>SUM(F32)</f>
        <v>450000</v>
      </c>
      <c r="G33" s="198"/>
    </row>
    <row r="34" spans="1:7" ht="13.5" thickBot="1" x14ac:dyDescent="0.25">
      <c r="A34" s="97"/>
      <c r="B34" s="97"/>
      <c r="C34" s="97"/>
      <c r="D34" s="97"/>
      <c r="E34" s="204"/>
      <c r="F34" s="204"/>
      <c r="G34" s="204"/>
    </row>
    <row r="35" spans="1:7" ht="15.75" customHeight="1" thickTop="1" thickBot="1" x14ac:dyDescent="0.25">
      <c r="A35" s="359" t="s">
        <v>290</v>
      </c>
      <c r="B35" s="360"/>
      <c r="C35" s="360"/>
      <c r="D35" s="360"/>
      <c r="E35" s="361">
        <f>E13+E16+E30+E33</f>
        <v>16255358</v>
      </c>
      <c r="F35" s="361">
        <f>F13+F16+F30+F33</f>
        <v>16029707</v>
      </c>
      <c r="G35" s="361">
        <f>G13+G16+G30+G33</f>
        <v>225651</v>
      </c>
    </row>
    <row r="36" spans="1:7" ht="15.75" thickTop="1" x14ac:dyDescent="0.2">
      <c r="A36" s="193" t="s">
        <v>288</v>
      </c>
      <c r="E36" s="190"/>
      <c r="F36" s="190"/>
      <c r="G36" s="190"/>
    </row>
    <row r="37" spans="1:7" x14ac:dyDescent="0.2">
      <c r="E37" s="190"/>
      <c r="F37" s="190"/>
      <c r="G37" s="190"/>
    </row>
    <row r="38" spans="1:7" x14ac:dyDescent="0.2">
      <c r="E38" s="190"/>
      <c r="F38" s="190"/>
      <c r="G38" s="190"/>
    </row>
    <row r="39" spans="1:7" x14ac:dyDescent="0.2">
      <c r="E39" s="190"/>
      <c r="F39" s="190"/>
      <c r="G39" s="190"/>
    </row>
    <row r="40" spans="1:7" ht="18.75" x14ac:dyDescent="0.3">
      <c r="A40" s="408" t="s">
        <v>447</v>
      </c>
      <c r="B40" s="408"/>
      <c r="C40" s="408"/>
      <c r="D40" s="408"/>
      <c r="E40" s="408"/>
      <c r="F40" s="408"/>
      <c r="G40" s="408"/>
    </row>
    <row r="41" spans="1:7" ht="15" x14ac:dyDescent="0.2">
      <c r="A41" s="417" t="s">
        <v>293</v>
      </c>
      <c r="B41" s="417"/>
      <c r="C41" s="417"/>
      <c r="D41" s="417"/>
      <c r="E41" s="417"/>
      <c r="F41" s="417"/>
      <c r="G41" s="417"/>
    </row>
    <row r="42" spans="1:7" x14ac:dyDescent="0.2">
      <c r="E42" s="96"/>
      <c r="F42" s="96"/>
      <c r="G42" s="207" t="s">
        <v>292</v>
      </c>
    </row>
    <row r="43" spans="1:7" x14ac:dyDescent="0.2">
      <c r="A43" s="418" t="s">
        <v>123</v>
      </c>
      <c r="B43" s="418" t="s">
        <v>289</v>
      </c>
      <c r="C43" s="418" t="s">
        <v>124</v>
      </c>
      <c r="D43" s="418" t="s">
        <v>125</v>
      </c>
      <c r="E43" s="418" t="s">
        <v>80</v>
      </c>
      <c r="F43" s="418" t="s">
        <v>6</v>
      </c>
      <c r="G43" s="418" t="s">
        <v>7</v>
      </c>
    </row>
    <row r="44" spans="1:7" x14ac:dyDescent="0.2">
      <c r="A44" s="418"/>
      <c r="B44" s="418"/>
      <c r="C44" s="418"/>
      <c r="D44" s="418"/>
      <c r="E44" s="418"/>
      <c r="F44" s="418"/>
      <c r="G44" s="418"/>
    </row>
    <row r="45" spans="1:7" x14ac:dyDescent="0.2">
      <c r="A45" s="181">
        <v>4</v>
      </c>
      <c r="B45" s="181">
        <v>41</v>
      </c>
      <c r="C45" s="181">
        <v>4112</v>
      </c>
      <c r="D45" s="201" t="str">
        <f>Bilance!C32</f>
        <v xml:space="preserve">Neinvestiční přijaté transfery ze SR v rámci souhrnného dotačního vztahu </v>
      </c>
      <c r="E45" s="196">
        <f>+F45+G45</f>
        <v>407313</v>
      </c>
      <c r="F45" s="196">
        <f>Bilance!E32</f>
        <v>198491</v>
      </c>
      <c r="G45" s="196">
        <f>Bilance!F32</f>
        <v>208822</v>
      </c>
    </row>
    <row r="46" spans="1:7" x14ac:dyDescent="0.2">
      <c r="A46" s="181">
        <v>4</v>
      </c>
      <c r="B46" s="181">
        <v>41</v>
      </c>
      <c r="C46" s="181">
        <v>4116</v>
      </c>
      <c r="D46" s="181" t="str">
        <f>Bilance!C33</f>
        <v>Ostatní neinvestiční přijaté transfery ze státního rozpočtu</v>
      </c>
      <c r="E46" s="196">
        <f>+F46+G46</f>
        <v>3146</v>
      </c>
      <c r="F46" s="196"/>
      <c r="G46" s="196">
        <f>Bilance!F33</f>
        <v>3146</v>
      </c>
    </row>
    <row r="47" spans="1:7" x14ac:dyDescent="0.2">
      <c r="A47" s="181">
        <v>4</v>
      </c>
      <c r="B47" s="181">
        <v>41</v>
      </c>
      <c r="C47" s="181">
        <v>4121</v>
      </c>
      <c r="D47" s="181" t="str">
        <f>Bilance!C34</f>
        <v>Neinvestiční přijaté transfery od obcí</v>
      </c>
      <c r="E47" s="196">
        <f>+F47+G47</f>
        <v>90</v>
      </c>
      <c r="F47" s="196">
        <f>Bilance!E34</f>
        <v>25</v>
      </c>
      <c r="G47" s="196">
        <f>Bilance!F34</f>
        <v>65</v>
      </c>
    </row>
    <row r="48" spans="1:7" x14ac:dyDescent="0.2">
      <c r="A48" s="181">
        <v>4</v>
      </c>
      <c r="B48" s="181">
        <v>41</v>
      </c>
      <c r="C48" s="181">
        <v>4131</v>
      </c>
      <c r="D48" s="181" t="str">
        <f>Bilance!C35</f>
        <v>Převody z vlastních fondů podnikatelské činnosti</v>
      </c>
      <c r="E48" s="196">
        <f>+F48+G48</f>
        <v>1489926</v>
      </c>
      <c r="F48" s="196">
        <f>Bilance!E35</f>
        <v>962841</v>
      </c>
      <c r="G48" s="196">
        <f>Bilance!F35</f>
        <v>527085</v>
      </c>
    </row>
    <row r="49" spans="1:7" x14ac:dyDescent="0.2">
      <c r="A49" s="181">
        <v>4</v>
      </c>
      <c r="B49" s="181">
        <v>41</v>
      </c>
      <c r="C49" s="181">
        <v>4137</v>
      </c>
      <c r="D49" s="181" t="s">
        <v>334</v>
      </c>
      <c r="E49" s="196" t="s">
        <v>128</v>
      </c>
      <c r="F49" s="196"/>
      <c r="G49" s="196">
        <f>Bilance!F36</f>
        <v>2336893</v>
      </c>
    </row>
    <row r="50" spans="1:7" x14ac:dyDescent="0.2">
      <c r="A50" s="181">
        <v>4</v>
      </c>
      <c r="B50" s="181">
        <v>41</v>
      </c>
      <c r="C50" s="181">
        <v>4137</v>
      </c>
      <c r="D50" s="181" t="s">
        <v>335</v>
      </c>
      <c r="E50" s="196" t="s">
        <v>128</v>
      </c>
      <c r="F50" s="196"/>
      <c r="G50" s="196">
        <f>Bilance!F37</f>
        <v>580</v>
      </c>
    </row>
    <row r="51" spans="1:7" x14ac:dyDescent="0.2">
      <c r="A51" s="181">
        <v>4</v>
      </c>
      <c r="B51" s="181">
        <v>41</v>
      </c>
      <c r="C51" s="181">
        <v>4137</v>
      </c>
      <c r="D51" s="181" t="s">
        <v>340</v>
      </c>
      <c r="E51" s="196" t="s">
        <v>128</v>
      </c>
      <c r="F51" s="196">
        <f>Bilance!E38</f>
        <v>52150</v>
      </c>
      <c r="G51" s="196"/>
    </row>
    <row r="52" spans="1:7" x14ac:dyDescent="0.2">
      <c r="A52" s="197" t="s">
        <v>129</v>
      </c>
      <c r="B52" s="183"/>
      <c r="C52" s="183"/>
      <c r="D52" s="183"/>
      <c r="E52" s="198">
        <f>SUM(E45:E51)</f>
        <v>1900475</v>
      </c>
      <c r="F52" s="198">
        <f>SUM(F45:F51)</f>
        <v>1213507</v>
      </c>
      <c r="G52" s="198">
        <f>SUM(G45:G51)</f>
        <v>3076591</v>
      </c>
    </row>
    <row r="53" spans="1:7" x14ac:dyDescent="0.2">
      <c r="A53" s="206"/>
      <c r="B53" s="97"/>
      <c r="C53" s="97"/>
      <c r="D53" s="97"/>
      <c r="E53" s="384"/>
      <c r="F53" s="384"/>
      <c r="G53" s="384"/>
    </row>
    <row r="54" spans="1:7" x14ac:dyDescent="0.2">
      <c r="A54" s="181">
        <v>4</v>
      </c>
      <c r="B54" s="181">
        <v>42</v>
      </c>
      <c r="C54" s="181">
        <v>4251</v>
      </c>
      <c r="D54" s="181" t="s">
        <v>337</v>
      </c>
      <c r="E54" s="196" t="s">
        <v>128</v>
      </c>
      <c r="F54" s="196"/>
      <c r="G54" s="196">
        <f>Bilance!F39</f>
        <v>252133</v>
      </c>
    </row>
    <row r="55" spans="1:7" x14ac:dyDescent="0.2">
      <c r="A55" s="197" t="s">
        <v>341</v>
      </c>
      <c r="B55" s="183"/>
      <c r="C55" s="183"/>
      <c r="D55" s="183"/>
      <c r="E55" s="198">
        <f>SUM(E54:E54)</f>
        <v>0</v>
      </c>
      <c r="F55" s="198">
        <f>SUM(F54:F54)</f>
        <v>0</v>
      </c>
      <c r="G55" s="198">
        <f>SUM(G54:G54)</f>
        <v>252133</v>
      </c>
    </row>
    <row r="56" spans="1:7" ht="13.5" thickBot="1" x14ac:dyDescent="0.25">
      <c r="A56" s="206"/>
      <c r="B56" s="97"/>
      <c r="C56" s="97"/>
      <c r="D56" s="97"/>
      <c r="E56" s="204"/>
      <c r="F56" s="204"/>
      <c r="G56" s="204"/>
    </row>
    <row r="57" spans="1:7" ht="15.75" customHeight="1" thickTop="1" thickBot="1" x14ac:dyDescent="0.25">
      <c r="A57" s="359" t="s">
        <v>291</v>
      </c>
      <c r="B57" s="360"/>
      <c r="C57" s="360"/>
      <c r="D57" s="360"/>
      <c r="E57" s="361">
        <f>+E52+E55</f>
        <v>1900475</v>
      </c>
      <c r="F57" s="361">
        <f>+F52+F55</f>
        <v>1213507</v>
      </c>
      <c r="G57" s="361">
        <f>+G52+G55</f>
        <v>3328724</v>
      </c>
    </row>
    <row r="58" spans="1:7" ht="13.5" thickTop="1" x14ac:dyDescent="0.2">
      <c r="A58" s="93" t="s">
        <v>122</v>
      </c>
      <c r="E58" s="192"/>
      <c r="F58" s="190"/>
      <c r="G58" s="190"/>
    </row>
    <row r="59" spans="1:7" x14ac:dyDescent="0.2">
      <c r="E59" s="192"/>
      <c r="F59" s="190"/>
      <c r="G59" s="190"/>
    </row>
    <row r="60" spans="1:7" x14ac:dyDescent="0.2">
      <c r="A60" s="109"/>
      <c r="E60" s="192"/>
      <c r="F60" s="190"/>
      <c r="G60" s="190"/>
    </row>
    <row r="61" spans="1:7" x14ac:dyDescent="0.2">
      <c r="E61" s="96"/>
      <c r="F61" s="96"/>
      <c r="G61" s="96"/>
    </row>
    <row r="62" spans="1:7" x14ac:dyDescent="0.2">
      <c r="E62" s="96"/>
      <c r="F62" s="96"/>
      <c r="G62" s="96"/>
    </row>
  </sheetData>
  <mergeCells count="18">
    <mergeCell ref="F43:F44"/>
    <mergeCell ref="G43:G44"/>
    <mergeCell ref="A43:A44"/>
    <mergeCell ref="B43:B44"/>
    <mergeCell ref="C43:C44"/>
    <mergeCell ref="D43:D44"/>
    <mergeCell ref="E43:E44"/>
    <mergeCell ref="A1:G1"/>
    <mergeCell ref="A2:G2"/>
    <mergeCell ref="A40:G40"/>
    <mergeCell ref="A41:G4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55000000000000004" right="0.36" top="0.74" bottom="0.43" header="0.23622047244094491" footer="0.27"/>
  <pageSetup paperSize="9" scale="92" orientation="portrait" r:id="rId1"/>
  <headerFooter alignWithMargins="0">
    <oddHeader xml:space="preserve">&amp;R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19"/>
  <sheetViews>
    <sheetView showGridLines="0" showZeros="0" zoomScaleNormal="100" zoomScaleSheetLayoutView="100" workbookViewId="0">
      <pane ySplit="6" topLeftCell="A7" activePane="bottomLeft" state="frozen"/>
      <selection activeCell="C14" sqref="C14"/>
      <selection pane="bottomLeft" activeCell="C14" sqref="C14"/>
    </sheetView>
  </sheetViews>
  <sheetFormatPr defaultRowHeight="12.75" x14ac:dyDescent="0.2"/>
  <cols>
    <col min="1" max="1" width="4.5703125" style="93" customWidth="1"/>
    <col min="2" max="2" width="5.140625" style="93" customWidth="1"/>
    <col min="3" max="3" width="5" style="93" bestFit="1" customWidth="1"/>
    <col min="4" max="4" width="52.85546875" style="93" customWidth="1"/>
    <col min="5" max="5" width="11.7109375" style="96" customWidth="1"/>
    <col min="6" max="6" width="10.28515625" style="96" customWidth="1"/>
    <col min="7" max="7" width="10.42578125" style="96" customWidth="1"/>
    <col min="8" max="8" width="12" style="96" customWidth="1"/>
    <col min="9" max="9" width="10" style="96" customWidth="1"/>
    <col min="10" max="10" width="10.5703125" style="96" customWidth="1"/>
    <col min="11" max="11" width="18.5703125" style="96" hidden="1" customWidth="1"/>
    <col min="12" max="12" width="9" style="96" hidden="1" customWidth="1"/>
    <col min="13" max="13" width="11.85546875" style="96" hidden="1" customWidth="1"/>
    <col min="14" max="20" width="9.140625" style="96"/>
    <col min="21" max="16384" width="9.140625" style="93"/>
  </cols>
  <sheetData>
    <row r="1" spans="1:13" s="96" customFormat="1" ht="18.75" x14ac:dyDescent="0.3">
      <c r="A1" s="408" t="s">
        <v>448</v>
      </c>
      <c r="B1" s="408"/>
      <c r="C1" s="408"/>
      <c r="D1" s="408"/>
      <c r="E1" s="408"/>
      <c r="F1" s="408"/>
      <c r="G1" s="408"/>
      <c r="H1" s="408"/>
      <c r="I1" s="408"/>
      <c r="J1" s="408"/>
      <c r="K1" s="191"/>
      <c r="L1" s="191"/>
      <c r="M1" s="191"/>
    </row>
    <row r="2" spans="1:13" s="96" customFormat="1" ht="15" x14ac:dyDescent="0.25">
      <c r="A2" s="421" t="s">
        <v>130</v>
      </c>
      <c r="B2" s="421"/>
      <c r="C2" s="421"/>
      <c r="D2" s="421"/>
      <c r="E2" s="421"/>
      <c r="F2" s="421"/>
      <c r="G2" s="421"/>
      <c r="H2" s="421"/>
      <c r="I2" s="421"/>
      <c r="J2" s="421"/>
      <c r="K2" s="191"/>
      <c r="L2" s="191"/>
      <c r="M2" s="191"/>
    </row>
    <row r="3" spans="1:13" s="96" customFormat="1" x14ac:dyDescent="0.2">
      <c r="A3" s="94"/>
      <c r="B3" s="94"/>
      <c r="C3" s="94"/>
      <c r="D3" s="125"/>
      <c r="E3" s="191"/>
      <c r="F3" s="191"/>
      <c r="G3" s="191"/>
    </row>
    <row r="4" spans="1:13" s="96" customFormat="1" x14ac:dyDescent="0.2">
      <c r="A4" s="94"/>
      <c r="B4" s="94"/>
      <c r="C4" s="94"/>
      <c r="D4" s="125"/>
      <c r="E4" s="191"/>
      <c r="F4" s="191"/>
      <c r="G4" s="191"/>
      <c r="J4" s="190" t="s">
        <v>292</v>
      </c>
    </row>
    <row r="5" spans="1:13" s="96" customFormat="1" x14ac:dyDescent="0.2">
      <c r="A5" s="422" t="s">
        <v>294</v>
      </c>
      <c r="B5" s="419" t="s">
        <v>131</v>
      </c>
      <c r="C5" s="419" t="s">
        <v>132</v>
      </c>
      <c r="D5" s="419" t="s">
        <v>212</v>
      </c>
      <c r="E5" s="424" t="s">
        <v>133</v>
      </c>
      <c r="F5" s="425"/>
      <c r="G5" s="426"/>
      <c r="H5" s="424" t="s">
        <v>134</v>
      </c>
      <c r="I5" s="425"/>
      <c r="J5" s="426"/>
      <c r="K5" s="211" t="s">
        <v>135</v>
      </c>
      <c r="L5" s="211"/>
      <c r="M5" s="211"/>
    </row>
    <row r="6" spans="1:13" s="96" customFormat="1" ht="25.5" x14ac:dyDescent="0.2">
      <c r="A6" s="423"/>
      <c r="B6" s="420"/>
      <c r="C6" s="420"/>
      <c r="D6" s="420"/>
      <c r="E6" s="257" t="s">
        <v>80</v>
      </c>
      <c r="F6" s="257" t="s">
        <v>136</v>
      </c>
      <c r="G6" s="257" t="s">
        <v>7</v>
      </c>
      <c r="H6" s="257" t="s">
        <v>80</v>
      </c>
      <c r="I6" s="257" t="s">
        <v>136</v>
      </c>
      <c r="J6" s="257" t="s">
        <v>7</v>
      </c>
      <c r="K6" s="212" t="s">
        <v>80</v>
      </c>
      <c r="L6" s="213" t="s">
        <v>136</v>
      </c>
      <c r="M6" s="213" t="s">
        <v>7</v>
      </c>
    </row>
    <row r="7" spans="1:13" s="96" customFormat="1" x14ac:dyDescent="0.2">
      <c r="A7" s="180"/>
      <c r="B7" s="180"/>
      <c r="C7" s="180"/>
      <c r="D7" s="214"/>
      <c r="E7" s="227"/>
      <c r="F7" s="208"/>
      <c r="G7" s="228"/>
      <c r="H7" s="227"/>
      <c r="I7" s="208"/>
      <c r="J7" s="228"/>
      <c r="K7" s="227"/>
      <c r="L7" s="208"/>
      <c r="M7" s="228"/>
    </row>
    <row r="8" spans="1:13" s="96" customFormat="1" ht="13.5" thickBot="1" x14ac:dyDescent="0.25">
      <c r="A8" s="181"/>
      <c r="B8" s="181"/>
      <c r="C8" s="181"/>
      <c r="D8" s="215" t="s">
        <v>137</v>
      </c>
      <c r="E8" s="229">
        <f>+F8+G8</f>
        <v>213126</v>
      </c>
      <c r="F8" s="182">
        <v>212939</v>
      </c>
      <c r="G8" s="230">
        <v>187</v>
      </c>
      <c r="H8" s="229"/>
      <c r="I8" s="182"/>
      <c r="J8" s="230"/>
      <c r="K8" s="229">
        <f>+L8+M8</f>
        <v>213126</v>
      </c>
      <c r="L8" s="182">
        <f>+F8+I8</f>
        <v>212939</v>
      </c>
      <c r="M8" s="230">
        <f>+G8+J8</f>
        <v>187</v>
      </c>
    </row>
    <row r="9" spans="1:13" s="96" customFormat="1" ht="14.25" thickTop="1" thickBot="1" x14ac:dyDescent="0.25">
      <c r="A9" s="205" t="s">
        <v>138</v>
      </c>
      <c r="B9" s="187"/>
      <c r="C9" s="188"/>
      <c r="D9" s="216"/>
      <c r="E9" s="231">
        <f>+E8</f>
        <v>213126</v>
      </c>
      <c r="F9" s="189">
        <f>+F8</f>
        <v>212939</v>
      </c>
      <c r="G9" s="232">
        <f>SUM(G8)</f>
        <v>187</v>
      </c>
      <c r="H9" s="231"/>
      <c r="I9" s="189"/>
      <c r="J9" s="232"/>
      <c r="K9" s="231">
        <f>+K8</f>
        <v>213126</v>
      </c>
      <c r="L9" s="189">
        <f>+L8</f>
        <v>212939</v>
      </c>
      <c r="M9" s="232">
        <f>+M8</f>
        <v>187</v>
      </c>
    </row>
    <row r="10" spans="1:13" s="96" customFormat="1" ht="13.5" thickTop="1" x14ac:dyDescent="0.2">
      <c r="A10" s="199"/>
      <c r="B10" s="181"/>
      <c r="C10" s="181"/>
      <c r="D10" s="215"/>
      <c r="E10" s="233"/>
      <c r="F10" s="185"/>
      <c r="G10" s="234"/>
      <c r="H10" s="233"/>
      <c r="I10" s="185"/>
      <c r="J10" s="234"/>
      <c r="K10" s="233"/>
      <c r="L10" s="185"/>
      <c r="M10" s="234"/>
    </row>
    <row r="11" spans="1:13" s="96" customFormat="1" x14ac:dyDescent="0.2">
      <c r="A11" s="181">
        <v>1</v>
      </c>
      <c r="B11" s="181">
        <v>10</v>
      </c>
      <c r="C11" s="181">
        <v>1012</v>
      </c>
      <c r="D11" s="215" t="s">
        <v>409</v>
      </c>
      <c r="E11" s="229">
        <f t="shared" ref="E11:E77" si="0">+F11+G11</f>
        <v>1140</v>
      </c>
      <c r="F11" s="182"/>
      <c r="G11" s="230">
        <v>1140</v>
      </c>
      <c r="H11" s="229"/>
      <c r="I11" s="182"/>
      <c r="J11" s="230"/>
      <c r="K11" s="229">
        <f t="shared" ref="K11:K15" si="1">+L11+M11</f>
        <v>1140</v>
      </c>
      <c r="L11" s="182">
        <f t="shared" ref="L11:M15" si="2">+F11+I11</f>
        <v>0</v>
      </c>
      <c r="M11" s="230">
        <f t="shared" si="2"/>
        <v>1140</v>
      </c>
    </row>
    <row r="12" spans="1:13" s="96" customFormat="1" x14ac:dyDescent="0.2">
      <c r="A12" s="181">
        <v>1</v>
      </c>
      <c r="B12" s="181">
        <v>10</v>
      </c>
      <c r="C12" s="181">
        <v>1014</v>
      </c>
      <c r="D12" s="215" t="s">
        <v>441</v>
      </c>
      <c r="E12" s="229">
        <f t="shared" si="0"/>
        <v>681</v>
      </c>
      <c r="F12" s="182">
        <v>681</v>
      </c>
      <c r="G12" s="230"/>
      <c r="H12" s="229"/>
      <c r="I12" s="182"/>
      <c r="J12" s="230"/>
      <c r="K12" s="229">
        <f t="shared" si="1"/>
        <v>681</v>
      </c>
      <c r="L12" s="182">
        <f t="shared" si="2"/>
        <v>681</v>
      </c>
      <c r="M12" s="230">
        <f t="shared" si="2"/>
        <v>0</v>
      </c>
    </row>
    <row r="13" spans="1:13" s="96" customFormat="1" x14ac:dyDescent="0.2">
      <c r="A13" s="181">
        <v>1</v>
      </c>
      <c r="B13" s="181">
        <v>10</v>
      </c>
      <c r="C13" s="181">
        <v>1019</v>
      </c>
      <c r="D13" s="215" t="s">
        <v>139</v>
      </c>
      <c r="E13" s="229">
        <f t="shared" si="0"/>
        <v>14602</v>
      </c>
      <c r="F13" s="182"/>
      <c r="G13" s="230">
        <v>14602</v>
      </c>
      <c r="H13" s="229"/>
      <c r="I13" s="182"/>
      <c r="J13" s="230"/>
      <c r="K13" s="229">
        <f t="shared" si="1"/>
        <v>14602</v>
      </c>
      <c r="L13" s="182">
        <f t="shared" si="2"/>
        <v>0</v>
      </c>
      <c r="M13" s="230">
        <f t="shared" si="2"/>
        <v>14602</v>
      </c>
    </row>
    <row r="14" spans="1:13" s="96" customFormat="1" x14ac:dyDescent="0.2">
      <c r="A14" s="181">
        <v>1</v>
      </c>
      <c r="B14" s="181">
        <v>10</v>
      </c>
      <c r="C14" s="181">
        <v>1031</v>
      </c>
      <c r="D14" s="215" t="s">
        <v>140</v>
      </c>
      <c r="E14" s="229">
        <f t="shared" si="0"/>
        <v>11946</v>
      </c>
      <c r="F14" s="182">
        <v>11946</v>
      </c>
      <c r="G14" s="230"/>
      <c r="H14" s="229"/>
      <c r="I14" s="182"/>
      <c r="J14" s="230"/>
      <c r="K14" s="229">
        <f t="shared" si="1"/>
        <v>11946</v>
      </c>
      <c r="L14" s="182">
        <f t="shared" si="2"/>
        <v>11946</v>
      </c>
      <c r="M14" s="230">
        <f t="shared" si="2"/>
        <v>0</v>
      </c>
    </row>
    <row r="15" spans="1:13" s="96" customFormat="1" x14ac:dyDescent="0.2">
      <c r="A15" s="181">
        <v>1</v>
      </c>
      <c r="B15" s="181">
        <v>10</v>
      </c>
      <c r="C15" s="181">
        <v>1032</v>
      </c>
      <c r="D15" s="215" t="s">
        <v>141</v>
      </c>
      <c r="E15" s="229">
        <f t="shared" si="0"/>
        <v>96</v>
      </c>
      <c r="F15" s="182">
        <v>96</v>
      </c>
      <c r="G15" s="230"/>
      <c r="H15" s="229"/>
      <c r="I15" s="182"/>
      <c r="J15" s="230"/>
      <c r="K15" s="229">
        <f t="shared" si="1"/>
        <v>96</v>
      </c>
      <c r="L15" s="182">
        <f t="shared" si="2"/>
        <v>96</v>
      </c>
      <c r="M15" s="230">
        <f t="shared" si="2"/>
        <v>0</v>
      </c>
    </row>
    <row r="16" spans="1:13" s="96" customFormat="1" x14ac:dyDescent="0.2">
      <c r="A16" s="197" t="s">
        <v>401</v>
      </c>
      <c r="B16" s="183"/>
      <c r="C16" s="183"/>
      <c r="D16" s="217"/>
      <c r="E16" s="235">
        <f>SUM(E11:E15)</f>
        <v>28465</v>
      </c>
      <c r="F16" s="184">
        <f>SUM(F11:F15)</f>
        <v>12723</v>
      </c>
      <c r="G16" s="236">
        <f>SUM(G11:G15)</f>
        <v>15742</v>
      </c>
      <c r="H16" s="235"/>
      <c r="I16" s="184"/>
      <c r="J16" s="236"/>
      <c r="K16" s="235">
        <f>SUM(K11:K15)</f>
        <v>28465</v>
      </c>
      <c r="L16" s="184">
        <f>SUM(L11:L15)</f>
        <v>12723</v>
      </c>
      <c r="M16" s="236">
        <f>SUM(M11:M15)</f>
        <v>15742</v>
      </c>
    </row>
    <row r="17" spans="1:13" s="96" customFormat="1" ht="13.5" thickBot="1" x14ac:dyDescent="0.25">
      <c r="A17" s="206"/>
      <c r="B17" s="97"/>
      <c r="C17" s="97"/>
      <c r="D17" s="218"/>
      <c r="E17" s="237"/>
      <c r="F17" s="209"/>
      <c r="G17" s="238"/>
      <c r="H17" s="237"/>
      <c r="I17" s="209"/>
      <c r="J17" s="238"/>
      <c r="K17" s="237"/>
      <c r="L17" s="209"/>
      <c r="M17" s="238"/>
    </row>
    <row r="18" spans="1:13" s="96" customFormat="1" ht="14.25" thickTop="1" thickBot="1" x14ac:dyDescent="0.25">
      <c r="A18" s="205" t="s">
        <v>402</v>
      </c>
      <c r="B18" s="187"/>
      <c r="C18" s="187"/>
      <c r="D18" s="219"/>
      <c r="E18" s="231">
        <f>+E16</f>
        <v>28465</v>
      </c>
      <c r="F18" s="189">
        <f>+F16</f>
        <v>12723</v>
      </c>
      <c r="G18" s="232">
        <f>+G16</f>
        <v>15742</v>
      </c>
      <c r="H18" s="231"/>
      <c r="I18" s="189"/>
      <c r="J18" s="232"/>
      <c r="K18" s="231">
        <f>+K16</f>
        <v>28465</v>
      </c>
      <c r="L18" s="189">
        <f>+L16</f>
        <v>12723</v>
      </c>
      <c r="M18" s="232">
        <f>+M16</f>
        <v>15742</v>
      </c>
    </row>
    <row r="19" spans="1:13" s="96" customFormat="1" ht="13.5" thickTop="1" x14ac:dyDescent="0.2">
      <c r="A19" s="220"/>
      <c r="B19" s="105"/>
      <c r="C19" s="105"/>
      <c r="D19" s="221"/>
      <c r="E19" s="229"/>
      <c r="F19" s="182"/>
      <c r="G19" s="230"/>
      <c r="H19" s="229"/>
      <c r="I19" s="182"/>
      <c r="J19" s="230"/>
      <c r="K19" s="229"/>
      <c r="L19" s="182"/>
      <c r="M19" s="230"/>
    </row>
    <row r="20" spans="1:13" s="96" customFormat="1" x14ac:dyDescent="0.2">
      <c r="A20" s="105">
        <v>2</v>
      </c>
      <c r="B20" s="105">
        <v>21</v>
      </c>
      <c r="C20" s="105">
        <v>2122</v>
      </c>
      <c r="D20" s="221" t="s">
        <v>142</v>
      </c>
      <c r="E20" s="229">
        <f t="shared" si="0"/>
        <v>1</v>
      </c>
      <c r="F20" s="182"/>
      <c r="G20" s="230">
        <v>1</v>
      </c>
      <c r="H20" s="229"/>
      <c r="I20" s="182"/>
      <c r="J20" s="230"/>
      <c r="K20" s="229">
        <f t="shared" ref="K20:K23" si="3">+L20+M20</f>
        <v>1</v>
      </c>
      <c r="L20" s="182">
        <f t="shared" ref="L20:L21" si="4">+F20+I20</f>
        <v>0</v>
      </c>
      <c r="M20" s="230">
        <f>+G20+J20</f>
        <v>1</v>
      </c>
    </row>
    <row r="21" spans="1:13" s="96" customFormat="1" x14ac:dyDescent="0.2">
      <c r="A21" s="105">
        <v>2</v>
      </c>
      <c r="B21" s="105">
        <v>21</v>
      </c>
      <c r="C21" s="105">
        <v>2141</v>
      </c>
      <c r="D21" s="221" t="s">
        <v>143</v>
      </c>
      <c r="E21" s="229">
        <f t="shared" si="0"/>
        <v>385</v>
      </c>
      <c r="F21" s="182"/>
      <c r="G21" s="230">
        <v>385</v>
      </c>
      <c r="H21" s="229"/>
      <c r="I21" s="182"/>
      <c r="J21" s="230"/>
      <c r="K21" s="229">
        <f t="shared" si="3"/>
        <v>385</v>
      </c>
      <c r="L21" s="182">
        <f t="shared" si="4"/>
        <v>0</v>
      </c>
      <c r="M21" s="230">
        <f>+G21+J21</f>
        <v>385</v>
      </c>
    </row>
    <row r="22" spans="1:13" s="96" customFormat="1" x14ac:dyDescent="0.2">
      <c r="A22" s="105">
        <v>2</v>
      </c>
      <c r="B22" s="105">
        <v>21</v>
      </c>
      <c r="C22" s="105">
        <v>2144</v>
      </c>
      <c r="D22" s="221" t="s">
        <v>145</v>
      </c>
      <c r="E22" s="239">
        <f>+F22+G22</f>
        <v>90</v>
      </c>
      <c r="F22" s="182"/>
      <c r="G22" s="230">
        <v>90</v>
      </c>
      <c r="H22" s="229"/>
      <c r="I22" s="182"/>
      <c r="J22" s="230"/>
      <c r="K22" s="239">
        <f t="shared" si="3"/>
        <v>90</v>
      </c>
      <c r="L22" s="182">
        <f t="shared" ref="L22:L23" si="5">+F22+I22</f>
        <v>0</v>
      </c>
      <c r="M22" s="230">
        <f t="shared" ref="M22" si="6">+G22+J22</f>
        <v>90</v>
      </c>
    </row>
    <row r="23" spans="1:13" s="96" customFormat="1" x14ac:dyDescent="0.2">
      <c r="A23" s="105">
        <v>2</v>
      </c>
      <c r="B23" s="105">
        <v>21</v>
      </c>
      <c r="C23" s="105">
        <v>2169</v>
      </c>
      <c r="D23" s="222" t="s">
        <v>146</v>
      </c>
      <c r="E23" s="229">
        <f t="shared" si="0"/>
        <v>2525</v>
      </c>
      <c r="F23" s="182"/>
      <c r="G23" s="230">
        <v>2525</v>
      </c>
      <c r="H23" s="229"/>
      <c r="I23" s="182"/>
      <c r="J23" s="230"/>
      <c r="K23" s="229">
        <f t="shared" si="3"/>
        <v>2525</v>
      </c>
      <c r="L23" s="182">
        <f t="shared" si="5"/>
        <v>0</v>
      </c>
      <c r="M23" s="230">
        <f>+G23+J23</f>
        <v>2525</v>
      </c>
    </row>
    <row r="24" spans="1:13" s="96" customFormat="1" x14ac:dyDescent="0.2">
      <c r="A24" s="197" t="s">
        <v>147</v>
      </c>
      <c r="B24" s="183"/>
      <c r="C24" s="183"/>
      <c r="D24" s="223"/>
      <c r="E24" s="240">
        <f>SUM(E20:E23)</f>
        <v>3001</v>
      </c>
      <c r="F24" s="186">
        <f>SUM(F20:F23)</f>
        <v>0</v>
      </c>
      <c r="G24" s="241">
        <f>SUM(G20:G23)</f>
        <v>3001</v>
      </c>
      <c r="H24" s="240"/>
      <c r="I24" s="186"/>
      <c r="J24" s="241"/>
      <c r="K24" s="240">
        <f>SUM(K20:K23)</f>
        <v>3001</v>
      </c>
      <c r="L24" s="186">
        <f>SUM(L20:L23)</f>
        <v>0</v>
      </c>
      <c r="M24" s="241">
        <f>SUM(M20:M23)</f>
        <v>3001</v>
      </c>
    </row>
    <row r="25" spans="1:13" s="96" customFormat="1" x14ac:dyDescent="0.2">
      <c r="A25" s="199"/>
      <c r="B25" s="181"/>
      <c r="C25" s="181"/>
      <c r="D25" s="224"/>
      <c r="E25" s="239"/>
      <c r="F25" s="185"/>
      <c r="G25" s="234"/>
      <c r="H25" s="239"/>
      <c r="I25" s="185"/>
      <c r="J25" s="234"/>
      <c r="K25" s="239"/>
      <c r="L25" s="185"/>
      <c r="M25" s="234"/>
    </row>
    <row r="26" spans="1:13" s="96" customFormat="1" x14ac:dyDescent="0.2">
      <c r="A26" s="181">
        <v>2</v>
      </c>
      <c r="B26" s="181">
        <v>22</v>
      </c>
      <c r="C26" s="181">
        <v>2212</v>
      </c>
      <c r="D26" s="215" t="s">
        <v>148</v>
      </c>
      <c r="E26" s="239">
        <f t="shared" si="0"/>
        <v>2520</v>
      </c>
      <c r="F26" s="182">
        <v>2500</v>
      </c>
      <c r="G26" s="230">
        <v>20</v>
      </c>
      <c r="H26" s="239"/>
      <c r="I26" s="182"/>
      <c r="J26" s="230"/>
      <c r="K26" s="239">
        <f>+L26+M26</f>
        <v>2520</v>
      </c>
      <c r="L26" s="182">
        <f t="shared" ref="L26:M30" si="7">+F26+I26</f>
        <v>2500</v>
      </c>
      <c r="M26" s="230">
        <f t="shared" si="7"/>
        <v>20</v>
      </c>
    </row>
    <row r="27" spans="1:13" s="96" customFormat="1" x14ac:dyDescent="0.2">
      <c r="A27" s="181">
        <v>2</v>
      </c>
      <c r="B27" s="181">
        <v>22</v>
      </c>
      <c r="C27" s="181">
        <v>2219</v>
      </c>
      <c r="D27" s="215" t="s">
        <v>149</v>
      </c>
      <c r="E27" s="239">
        <f t="shared" ref="E27:E29" si="8">+F27+G27</f>
        <v>166729</v>
      </c>
      <c r="F27" s="182">
        <v>166724</v>
      </c>
      <c r="G27" s="230">
        <v>5</v>
      </c>
      <c r="H27" s="239"/>
      <c r="I27" s="182"/>
      <c r="J27" s="230"/>
      <c r="K27" s="239">
        <f>+L27+M27</f>
        <v>166729</v>
      </c>
      <c r="L27" s="182">
        <f t="shared" ref="L27" si="9">+F27+I27</f>
        <v>166724</v>
      </c>
      <c r="M27" s="230">
        <f t="shared" ref="M27" si="10">+G27+J27</f>
        <v>5</v>
      </c>
    </row>
    <row r="28" spans="1:13" s="96" customFormat="1" x14ac:dyDescent="0.2">
      <c r="A28" s="181">
        <v>2</v>
      </c>
      <c r="B28" s="181">
        <v>22</v>
      </c>
      <c r="C28" s="181">
        <v>2229</v>
      </c>
      <c r="D28" s="215" t="s">
        <v>410</v>
      </c>
      <c r="E28" s="239">
        <f t="shared" ref="E28" si="11">+F28+G28</f>
        <v>6700</v>
      </c>
      <c r="F28" s="182">
        <v>6700</v>
      </c>
      <c r="G28" s="230"/>
      <c r="H28" s="239"/>
      <c r="I28" s="182"/>
      <c r="J28" s="230"/>
      <c r="K28" s="239"/>
      <c r="L28" s="182"/>
      <c r="M28" s="230"/>
    </row>
    <row r="29" spans="1:13" s="96" customFormat="1" x14ac:dyDescent="0.2">
      <c r="A29" s="181">
        <v>2</v>
      </c>
      <c r="B29" s="181">
        <v>22</v>
      </c>
      <c r="C29" s="181">
        <v>2271</v>
      </c>
      <c r="D29" s="215" t="s">
        <v>218</v>
      </c>
      <c r="E29" s="239">
        <f t="shared" si="8"/>
        <v>100</v>
      </c>
      <c r="F29" s="182">
        <v>100</v>
      </c>
      <c r="G29" s="230"/>
      <c r="H29" s="239"/>
      <c r="I29" s="182"/>
      <c r="J29" s="230"/>
      <c r="K29" s="239"/>
      <c r="L29" s="182"/>
      <c r="M29" s="230"/>
    </row>
    <row r="30" spans="1:13" s="96" customFormat="1" x14ac:dyDescent="0.2">
      <c r="A30" s="181">
        <v>2</v>
      </c>
      <c r="B30" s="181">
        <v>22</v>
      </c>
      <c r="C30" s="181">
        <v>2299</v>
      </c>
      <c r="D30" s="215" t="s">
        <v>219</v>
      </c>
      <c r="E30" s="239">
        <f t="shared" si="0"/>
        <v>7</v>
      </c>
      <c r="F30" s="182">
        <v>7</v>
      </c>
      <c r="G30" s="230"/>
      <c r="H30" s="239"/>
      <c r="I30" s="182"/>
      <c r="J30" s="230"/>
      <c r="K30" s="239">
        <f>+L30+M30</f>
        <v>7</v>
      </c>
      <c r="L30" s="182">
        <f t="shared" si="7"/>
        <v>7</v>
      </c>
      <c r="M30" s="230">
        <f t="shared" si="7"/>
        <v>0</v>
      </c>
    </row>
    <row r="31" spans="1:13" s="96" customFormat="1" x14ac:dyDescent="0.2">
      <c r="A31" s="197" t="s">
        <v>150</v>
      </c>
      <c r="B31" s="183"/>
      <c r="C31" s="183"/>
      <c r="D31" s="217"/>
      <c r="E31" s="240">
        <f>SUM(E26:E30)</f>
        <v>176056</v>
      </c>
      <c r="F31" s="186">
        <f>SUM(F26:F30)</f>
        <v>176031</v>
      </c>
      <c r="G31" s="241">
        <f>SUM(G26:G30)</f>
        <v>25</v>
      </c>
      <c r="H31" s="240"/>
      <c r="I31" s="186"/>
      <c r="J31" s="241"/>
      <c r="K31" s="240">
        <f>SUM(K26:K30)</f>
        <v>169256</v>
      </c>
      <c r="L31" s="186">
        <f>SUM(L26:L30)</f>
        <v>169231</v>
      </c>
      <c r="M31" s="241">
        <f>SUM(M26:M30)</f>
        <v>25</v>
      </c>
    </row>
    <row r="32" spans="1:13" s="96" customFormat="1" x14ac:dyDescent="0.2">
      <c r="A32" s="199"/>
      <c r="B32" s="181"/>
      <c r="C32" s="181"/>
      <c r="D32" s="215"/>
      <c r="E32" s="239"/>
      <c r="F32" s="182"/>
      <c r="G32" s="230"/>
      <c r="H32" s="239"/>
      <c r="I32" s="182"/>
      <c r="J32" s="230"/>
      <c r="K32" s="239"/>
      <c r="L32" s="182"/>
      <c r="M32" s="230">
        <f>+G32+J32</f>
        <v>0</v>
      </c>
    </row>
    <row r="33" spans="1:13" s="96" customFormat="1" x14ac:dyDescent="0.2">
      <c r="A33" s="181">
        <v>2</v>
      </c>
      <c r="B33" s="181">
        <v>23</v>
      </c>
      <c r="C33" s="181">
        <v>2329</v>
      </c>
      <c r="D33" s="215" t="s">
        <v>222</v>
      </c>
      <c r="E33" s="239">
        <f t="shared" ref="E33" si="12">+F33+G33</f>
        <v>1000</v>
      </c>
      <c r="F33" s="182">
        <v>1000</v>
      </c>
      <c r="G33" s="230"/>
      <c r="H33" s="239">
        <f>+I33+J33</f>
        <v>0</v>
      </c>
      <c r="I33" s="182"/>
      <c r="J33" s="230"/>
      <c r="K33" s="229">
        <f>+L33+M33</f>
        <v>1000</v>
      </c>
      <c r="L33" s="182">
        <f>+F33+I33</f>
        <v>1000</v>
      </c>
      <c r="M33" s="230">
        <f t="shared" ref="M33" si="13">+G33+J33</f>
        <v>0</v>
      </c>
    </row>
    <row r="34" spans="1:13" s="96" customFormat="1" x14ac:dyDescent="0.2">
      <c r="A34" s="181">
        <v>2</v>
      </c>
      <c r="B34" s="181">
        <v>23</v>
      </c>
      <c r="C34" s="181">
        <v>2399</v>
      </c>
      <c r="D34" s="215" t="s">
        <v>151</v>
      </c>
      <c r="E34" s="239">
        <f t="shared" si="0"/>
        <v>150</v>
      </c>
      <c r="F34" s="182">
        <v>150</v>
      </c>
      <c r="G34" s="230"/>
      <c r="H34" s="239">
        <f>+I34+J34</f>
        <v>0</v>
      </c>
      <c r="I34" s="182"/>
      <c r="J34" s="230"/>
      <c r="K34" s="229">
        <f>+L34+M34</f>
        <v>150</v>
      </c>
      <c r="L34" s="182">
        <f>+F34+I34</f>
        <v>150</v>
      </c>
      <c r="M34" s="230">
        <f t="shared" ref="M34" si="14">+G34+J34</f>
        <v>0</v>
      </c>
    </row>
    <row r="35" spans="1:13" s="96" customFormat="1" x14ac:dyDescent="0.2">
      <c r="A35" s="197" t="s">
        <v>152</v>
      </c>
      <c r="B35" s="183"/>
      <c r="C35" s="183"/>
      <c r="D35" s="217"/>
      <c r="E35" s="240">
        <f>SUM(E33:E34)</f>
        <v>1150</v>
      </c>
      <c r="F35" s="186">
        <f t="shared" ref="F35:J35" si="15">SUM(F33:F34)</f>
        <v>1150</v>
      </c>
      <c r="G35" s="241">
        <f t="shared" si="15"/>
        <v>0</v>
      </c>
      <c r="H35" s="240">
        <f t="shared" si="15"/>
        <v>0</v>
      </c>
      <c r="I35" s="186">
        <f t="shared" si="15"/>
        <v>0</v>
      </c>
      <c r="J35" s="241">
        <f t="shared" si="15"/>
        <v>0</v>
      </c>
      <c r="K35" s="240">
        <f t="shared" ref="K35:M35" si="16">SUM(K34:K34)</f>
        <v>150</v>
      </c>
      <c r="L35" s="186">
        <f t="shared" si="16"/>
        <v>150</v>
      </c>
      <c r="M35" s="241">
        <f t="shared" si="16"/>
        <v>0</v>
      </c>
    </row>
    <row r="36" spans="1:13" s="96" customFormat="1" x14ac:dyDescent="0.2">
      <c r="A36" s="100"/>
      <c r="B36" s="99"/>
      <c r="C36" s="99"/>
      <c r="D36" s="225"/>
      <c r="E36" s="242"/>
      <c r="F36" s="210"/>
      <c r="G36" s="243"/>
      <c r="H36" s="242"/>
      <c r="I36" s="210"/>
      <c r="J36" s="243"/>
      <c r="K36" s="242"/>
      <c r="L36" s="210"/>
      <c r="M36" s="243"/>
    </row>
    <row r="37" spans="1:13" s="96" customFormat="1" x14ac:dyDescent="0.2">
      <c r="A37" s="181">
        <v>2</v>
      </c>
      <c r="B37" s="181">
        <v>24</v>
      </c>
      <c r="C37" s="181">
        <v>2411</v>
      </c>
      <c r="D37" s="376" t="s">
        <v>325</v>
      </c>
      <c r="E37" s="377">
        <f t="shared" ref="E37" si="17">+F37+G37</f>
        <v>230</v>
      </c>
      <c r="F37" s="378"/>
      <c r="G37" s="379">
        <v>230</v>
      </c>
      <c r="H37" s="377">
        <f>+I37+J37</f>
        <v>0</v>
      </c>
      <c r="I37" s="378"/>
      <c r="J37" s="379"/>
      <c r="K37" s="229">
        <f>+L37+M37</f>
        <v>230</v>
      </c>
      <c r="L37" s="182">
        <f>+F37+I37</f>
        <v>0</v>
      </c>
      <c r="M37" s="230">
        <f t="shared" ref="M37" si="18">+G37+J37</f>
        <v>230</v>
      </c>
    </row>
    <row r="38" spans="1:13" s="96" customFormat="1" x14ac:dyDescent="0.2">
      <c r="A38" s="99">
        <v>2</v>
      </c>
      <c r="B38" s="99">
        <v>24</v>
      </c>
      <c r="C38" s="99">
        <v>2419</v>
      </c>
      <c r="D38" s="225" t="s">
        <v>315</v>
      </c>
      <c r="E38" s="229">
        <f t="shared" si="0"/>
        <v>35</v>
      </c>
      <c r="F38" s="209"/>
      <c r="G38" s="238">
        <v>35</v>
      </c>
      <c r="H38" s="237"/>
      <c r="I38" s="209"/>
      <c r="J38" s="238"/>
      <c r="K38" s="229"/>
      <c r="L38" s="182"/>
      <c r="M38" s="230"/>
    </row>
    <row r="39" spans="1:13" s="96" customFormat="1" x14ac:dyDescent="0.2">
      <c r="A39" s="197" t="s">
        <v>324</v>
      </c>
      <c r="B39" s="183"/>
      <c r="C39" s="183"/>
      <c r="D39" s="391"/>
      <c r="E39" s="392">
        <f>SUM(E37:E38)</f>
        <v>265</v>
      </c>
      <c r="F39" s="393">
        <f t="shared" ref="F39:J39" si="19">SUM(F37:F38)</f>
        <v>0</v>
      </c>
      <c r="G39" s="394">
        <f t="shared" si="19"/>
        <v>265</v>
      </c>
      <c r="H39" s="392">
        <f t="shared" si="19"/>
        <v>0</v>
      </c>
      <c r="I39" s="393">
        <f t="shared" si="19"/>
        <v>0</v>
      </c>
      <c r="J39" s="394">
        <f t="shared" si="19"/>
        <v>0</v>
      </c>
      <c r="K39" s="240">
        <f t="shared" ref="K39:M39" si="20">SUM(K37:K37)</f>
        <v>230</v>
      </c>
      <c r="L39" s="186">
        <f t="shared" si="20"/>
        <v>0</v>
      </c>
      <c r="M39" s="241">
        <f t="shared" si="20"/>
        <v>230</v>
      </c>
    </row>
    <row r="40" spans="1:13" s="96" customFormat="1" ht="13.5" thickBot="1" x14ac:dyDescent="0.25">
      <c r="A40" s="100"/>
      <c r="B40" s="99"/>
      <c r="C40" s="99"/>
      <c r="D40" s="225"/>
      <c r="E40" s="242"/>
      <c r="F40" s="210"/>
      <c r="G40" s="243"/>
      <c r="H40" s="242"/>
      <c r="I40" s="210"/>
      <c r="J40" s="243"/>
      <c r="K40" s="242"/>
      <c r="L40" s="210"/>
      <c r="M40" s="243"/>
    </row>
    <row r="41" spans="1:13" s="96" customFormat="1" ht="14.25" thickTop="1" thickBot="1" x14ac:dyDescent="0.25">
      <c r="A41" s="205" t="s">
        <v>153</v>
      </c>
      <c r="B41" s="187"/>
      <c r="C41" s="187"/>
      <c r="D41" s="219"/>
      <c r="E41" s="231">
        <f>+E24+E31+E35+E39</f>
        <v>180472</v>
      </c>
      <c r="F41" s="189">
        <f t="shared" ref="F41:G41" si="21">+F24+F31+F35+F39</f>
        <v>177181</v>
      </c>
      <c r="G41" s="232">
        <f t="shared" si="21"/>
        <v>3291</v>
      </c>
      <c r="H41" s="231">
        <f t="shared" ref="H41:M41" si="22">+H24+H31+H35</f>
        <v>0</v>
      </c>
      <c r="I41" s="189">
        <f t="shared" si="22"/>
        <v>0</v>
      </c>
      <c r="J41" s="232">
        <f t="shared" si="22"/>
        <v>0</v>
      </c>
      <c r="K41" s="231">
        <f t="shared" si="22"/>
        <v>172407</v>
      </c>
      <c r="L41" s="189">
        <f t="shared" si="22"/>
        <v>169381</v>
      </c>
      <c r="M41" s="232">
        <f t="shared" si="22"/>
        <v>3026</v>
      </c>
    </row>
    <row r="42" spans="1:13" s="96" customFormat="1" ht="13.5" thickTop="1" x14ac:dyDescent="0.2">
      <c r="A42" s="220"/>
      <c r="B42" s="105"/>
      <c r="C42" s="105"/>
      <c r="D42" s="221"/>
      <c r="E42" s="229"/>
      <c r="F42" s="182"/>
      <c r="G42" s="230"/>
      <c r="H42" s="229"/>
      <c r="I42" s="182"/>
      <c r="J42" s="230"/>
      <c r="K42" s="229"/>
      <c r="L42" s="182"/>
      <c r="M42" s="230"/>
    </row>
    <row r="43" spans="1:13" s="96" customFormat="1" x14ac:dyDescent="0.2">
      <c r="A43" s="105">
        <v>3</v>
      </c>
      <c r="B43" s="105">
        <v>31</v>
      </c>
      <c r="C43" s="105">
        <v>3111</v>
      </c>
      <c r="D43" s="221" t="s">
        <v>154</v>
      </c>
      <c r="E43" s="229">
        <f t="shared" si="0"/>
        <v>4360</v>
      </c>
      <c r="F43" s="182"/>
      <c r="G43" s="230">
        <v>4360</v>
      </c>
      <c r="H43" s="229"/>
      <c r="I43" s="182"/>
      <c r="J43" s="230"/>
      <c r="K43" s="229">
        <f t="shared" ref="K43:K47" si="23">+L43+M43</f>
        <v>4360</v>
      </c>
      <c r="L43" s="182">
        <f t="shared" ref="L43" si="24">+F43+I43</f>
        <v>0</v>
      </c>
      <c r="M43" s="230">
        <f t="shared" ref="M43:M47" si="25">+G43+J43</f>
        <v>4360</v>
      </c>
    </row>
    <row r="44" spans="1:13" s="96" customFormat="1" x14ac:dyDescent="0.2">
      <c r="A44" s="181">
        <v>3</v>
      </c>
      <c r="B44" s="181">
        <v>31</v>
      </c>
      <c r="C44" s="181">
        <v>3113</v>
      </c>
      <c r="D44" s="215" t="s">
        <v>155</v>
      </c>
      <c r="E44" s="229">
        <f t="shared" si="0"/>
        <v>20636</v>
      </c>
      <c r="F44" s="182">
        <v>5243</v>
      </c>
      <c r="G44" s="230">
        <v>15393</v>
      </c>
      <c r="H44" s="239"/>
      <c r="I44" s="182"/>
      <c r="J44" s="230"/>
      <c r="K44" s="239">
        <f t="shared" si="23"/>
        <v>20636</v>
      </c>
      <c r="L44" s="182">
        <f>+F44+I44</f>
        <v>5243</v>
      </c>
      <c r="M44" s="230">
        <f t="shared" si="25"/>
        <v>15393</v>
      </c>
    </row>
    <row r="45" spans="1:13" s="96" customFormat="1" x14ac:dyDescent="0.2">
      <c r="A45" s="181">
        <v>3</v>
      </c>
      <c r="B45" s="181">
        <v>31</v>
      </c>
      <c r="C45" s="181">
        <v>3122</v>
      </c>
      <c r="D45" s="215" t="s">
        <v>394</v>
      </c>
      <c r="E45" s="239">
        <f>+F45+G45</f>
        <v>1588</v>
      </c>
      <c r="F45" s="182">
        <v>1588</v>
      </c>
      <c r="G45" s="230"/>
      <c r="H45" s="239"/>
      <c r="I45" s="182"/>
      <c r="J45" s="230"/>
      <c r="K45" s="239">
        <f t="shared" ref="K45" si="26">+L45+M45</f>
        <v>1588</v>
      </c>
      <c r="L45" s="182">
        <f t="shared" ref="L45" si="27">+F45+I45</f>
        <v>1588</v>
      </c>
      <c r="M45" s="230">
        <f t="shared" ref="M45" si="28">+G45+J45</f>
        <v>0</v>
      </c>
    </row>
    <row r="46" spans="1:13" s="96" customFormat="1" x14ac:dyDescent="0.2">
      <c r="A46" s="181">
        <v>3</v>
      </c>
      <c r="B46" s="181">
        <v>31</v>
      </c>
      <c r="C46" s="181">
        <v>3146</v>
      </c>
      <c r="D46" s="215" t="s">
        <v>411</v>
      </c>
      <c r="E46" s="229">
        <f t="shared" ref="E46" si="29">+F46+G46</f>
        <v>10</v>
      </c>
      <c r="F46" s="182"/>
      <c r="G46" s="230">
        <v>10</v>
      </c>
      <c r="H46" s="239"/>
      <c r="I46" s="182"/>
      <c r="J46" s="230"/>
      <c r="K46" s="239">
        <f t="shared" si="23"/>
        <v>10</v>
      </c>
      <c r="L46" s="182">
        <f t="shared" ref="L46" si="30">+F46+I46</f>
        <v>0</v>
      </c>
      <c r="M46" s="230">
        <f t="shared" si="25"/>
        <v>10</v>
      </c>
    </row>
    <row r="47" spans="1:13" s="96" customFormat="1" x14ac:dyDescent="0.2">
      <c r="A47" s="181">
        <v>3</v>
      </c>
      <c r="B47" s="181">
        <v>32</v>
      </c>
      <c r="C47" s="181">
        <v>3233</v>
      </c>
      <c r="D47" s="215" t="s">
        <v>231</v>
      </c>
      <c r="E47" s="229">
        <f t="shared" si="0"/>
        <v>510</v>
      </c>
      <c r="F47" s="182"/>
      <c r="G47" s="230">
        <v>510</v>
      </c>
      <c r="H47" s="239"/>
      <c r="I47" s="182"/>
      <c r="J47" s="230"/>
      <c r="K47" s="239">
        <f t="shared" si="23"/>
        <v>510</v>
      </c>
      <c r="L47" s="182">
        <f t="shared" ref="L47" si="31">+F47+I47</f>
        <v>0</v>
      </c>
      <c r="M47" s="230">
        <f t="shared" si="25"/>
        <v>510</v>
      </c>
    </row>
    <row r="48" spans="1:13" s="96" customFormat="1" x14ac:dyDescent="0.2">
      <c r="A48" s="197" t="s">
        <v>156</v>
      </c>
      <c r="B48" s="183"/>
      <c r="C48" s="183"/>
      <c r="D48" s="217"/>
      <c r="E48" s="240">
        <f>SUM(E43:E47)</f>
        <v>27104</v>
      </c>
      <c r="F48" s="186">
        <f>SUM(F43:F47)</f>
        <v>6831</v>
      </c>
      <c r="G48" s="241">
        <f>SUM(G43:G47)</f>
        <v>20273</v>
      </c>
      <c r="H48" s="240"/>
      <c r="I48" s="186"/>
      <c r="J48" s="241"/>
      <c r="K48" s="240">
        <f>SUM(K43:K47)</f>
        <v>27104</v>
      </c>
      <c r="L48" s="186">
        <f>SUM(L43:L47)</f>
        <v>6831</v>
      </c>
      <c r="M48" s="241">
        <f>SUM(M43:M47)</f>
        <v>20273</v>
      </c>
    </row>
    <row r="49" spans="1:13" s="96" customFormat="1" x14ac:dyDescent="0.2">
      <c r="A49" s="199"/>
      <c r="B49" s="181"/>
      <c r="C49" s="181"/>
      <c r="D49" s="215"/>
      <c r="E49" s="239"/>
      <c r="F49" s="182"/>
      <c r="G49" s="230"/>
      <c r="H49" s="239"/>
      <c r="I49" s="182"/>
      <c r="J49" s="230"/>
      <c r="K49" s="239"/>
      <c r="L49" s="182"/>
      <c r="M49" s="230"/>
    </row>
    <row r="50" spans="1:13" s="96" customFormat="1" x14ac:dyDescent="0.2">
      <c r="A50" s="181">
        <v>3</v>
      </c>
      <c r="B50" s="181">
        <v>33</v>
      </c>
      <c r="C50" s="181">
        <v>3311</v>
      </c>
      <c r="D50" s="215" t="s">
        <v>157</v>
      </c>
      <c r="E50" s="239">
        <f t="shared" si="0"/>
        <v>80504</v>
      </c>
      <c r="F50" s="182">
        <v>80504</v>
      </c>
      <c r="G50" s="230"/>
      <c r="H50" s="239"/>
      <c r="I50" s="182"/>
      <c r="J50" s="230"/>
      <c r="K50" s="239">
        <f t="shared" ref="K50:K59" si="32">+L50+M50</f>
        <v>80504</v>
      </c>
      <c r="L50" s="182">
        <f t="shared" ref="L50:M59" si="33">+F50+I50</f>
        <v>80504</v>
      </c>
      <c r="M50" s="230">
        <f t="shared" si="33"/>
        <v>0</v>
      </c>
    </row>
    <row r="51" spans="1:13" s="96" customFormat="1" x14ac:dyDescent="0.2">
      <c r="A51" s="181">
        <v>3</v>
      </c>
      <c r="B51" s="181">
        <v>33</v>
      </c>
      <c r="C51" s="181">
        <v>3313</v>
      </c>
      <c r="D51" s="215" t="s">
        <v>234</v>
      </c>
      <c r="E51" s="239">
        <f t="shared" si="0"/>
        <v>229</v>
      </c>
      <c r="F51" s="182"/>
      <c r="G51" s="230">
        <v>229</v>
      </c>
      <c r="H51" s="239"/>
      <c r="I51" s="182"/>
      <c r="J51" s="230"/>
      <c r="K51" s="239">
        <f>+L51+M51</f>
        <v>229</v>
      </c>
      <c r="L51" s="182">
        <f t="shared" si="33"/>
        <v>0</v>
      </c>
      <c r="M51" s="230">
        <f t="shared" si="33"/>
        <v>229</v>
      </c>
    </row>
    <row r="52" spans="1:13" s="96" customFormat="1" x14ac:dyDescent="0.2">
      <c r="A52" s="181">
        <v>3</v>
      </c>
      <c r="B52" s="181">
        <v>33</v>
      </c>
      <c r="C52" s="181">
        <v>3314</v>
      </c>
      <c r="D52" s="215" t="s">
        <v>159</v>
      </c>
      <c r="E52" s="239">
        <f t="shared" si="0"/>
        <v>2240</v>
      </c>
      <c r="F52" s="182">
        <v>1990</v>
      </c>
      <c r="G52" s="230">
        <v>250</v>
      </c>
      <c r="H52" s="239"/>
      <c r="I52" s="182"/>
      <c r="J52" s="230"/>
      <c r="K52" s="239">
        <f t="shared" si="32"/>
        <v>2240</v>
      </c>
      <c r="L52" s="182">
        <f t="shared" si="33"/>
        <v>1990</v>
      </c>
      <c r="M52" s="230">
        <f t="shared" si="33"/>
        <v>250</v>
      </c>
    </row>
    <row r="53" spans="1:13" s="96" customFormat="1" x14ac:dyDescent="0.2">
      <c r="A53" s="181">
        <v>3</v>
      </c>
      <c r="B53" s="181">
        <v>33</v>
      </c>
      <c r="C53" s="181">
        <v>3315</v>
      </c>
      <c r="D53" s="215" t="s">
        <v>160</v>
      </c>
      <c r="E53" s="239">
        <f t="shared" si="0"/>
        <v>2101</v>
      </c>
      <c r="F53" s="182">
        <v>2101</v>
      </c>
      <c r="G53" s="230"/>
      <c r="H53" s="239"/>
      <c r="I53" s="182"/>
      <c r="J53" s="230"/>
      <c r="K53" s="239">
        <f t="shared" si="32"/>
        <v>2101</v>
      </c>
      <c r="L53" s="182">
        <f t="shared" si="33"/>
        <v>2101</v>
      </c>
      <c r="M53" s="230">
        <f t="shared" si="33"/>
        <v>0</v>
      </c>
    </row>
    <row r="54" spans="1:13" s="96" customFormat="1" x14ac:dyDescent="0.2">
      <c r="A54" s="181">
        <v>3</v>
      </c>
      <c r="B54" s="181">
        <v>33</v>
      </c>
      <c r="C54" s="181">
        <v>3317</v>
      </c>
      <c r="D54" s="215" t="s">
        <v>161</v>
      </c>
      <c r="E54" s="239">
        <f t="shared" si="0"/>
        <v>2246</v>
      </c>
      <c r="F54" s="182">
        <v>2246</v>
      </c>
      <c r="G54" s="230"/>
      <c r="H54" s="239"/>
      <c r="I54" s="182"/>
      <c r="J54" s="230"/>
      <c r="K54" s="239">
        <f t="shared" si="32"/>
        <v>2246</v>
      </c>
      <c r="L54" s="182">
        <f t="shared" si="33"/>
        <v>2246</v>
      </c>
      <c r="M54" s="230">
        <f t="shared" si="33"/>
        <v>0</v>
      </c>
    </row>
    <row r="55" spans="1:13" s="96" customFormat="1" x14ac:dyDescent="0.2">
      <c r="A55" s="181">
        <v>3</v>
      </c>
      <c r="B55" s="181">
        <v>33</v>
      </c>
      <c r="C55" s="181">
        <v>3319</v>
      </c>
      <c r="D55" s="215" t="s">
        <v>162</v>
      </c>
      <c r="E55" s="239">
        <f t="shared" si="0"/>
        <v>24955</v>
      </c>
      <c r="F55" s="182">
        <v>8162</v>
      </c>
      <c r="G55" s="230">
        <v>16793</v>
      </c>
      <c r="H55" s="239">
        <f>+I55+J55</f>
        <v>0</v>
      </c>
      <c r="I55" s="182"/>
      <c r="J55" s="230"/>
      <c r="K55" s="239">
        <f t="shared" si="32"/>
        <v>24955</v>
      </c>
      <c r="L55" s="182">
        <f t="shared" si="33"/>
        <v>8162</v>
      </c>
      <c r="M55" s="230">
        <f t="shared" si="33"/>
        <v>16793</v>
      </c>
    </row>
    <row r="56" spans="1:13" s="96" customFormat="1" x14ac:dyDescent="0.2">
      <c r="A56" s="181">
        <v>3</v>
      </c>
      <c r="B56" s="181">
        <v>33</v>
      </c>
      <c r="C56" s="181">
        <v>3322</v>
      </c>
      <c r="D56" s="215" t="s">
        <v>163</v>
      </c>
      <c r="E56" s="239">
        <f t="shared" si="0"/>
        <v>123</v>
      </c>
      <c r="F56" s="182">
        <v>123</v>
      </c>
      <c r="G56" s="230"/>
      <c r="H56" s="239"/>
      <c r="I56" s="182"/>
      <c r="J56" s="230"/>
      <c r="K56" s="239">
        <f t="shared" si="32"/>
        <v>123</v>
      </c>
      <c r="L56" s="182">
        <f t="shared" si="33"/>
        <v>123</v>
      </c>
      <c r="M56" s="230">
        <f t="shared" si="33"/>
        <v>0</v>
      </c>
    </row>
    <row r="57" spans="1:13" s="96" customFormat="1" x14ac:dyDescent="0.2">
      <c r="A57" s="181">
        <v>3</v>
      </c>
      <c r="B57" s="181">
        <v>33</v>
      </c>
      <c r="C57" s="181">
        <v>3349</v>
      </c>
      <c r="D57" s="224" t="s">
        <v>164</v>
      </c>
      <c r="E57" s="239">
        <f t="shared" si="0"/>
        <v>1209</v>
      </c>
      <c r="F57" s="182"/>
      <c r="G57" s="230">
        <v>1209</v>
      </c>
      <c r="H57" s="239"/>
      <c r="I57" s="182"/>
      <c r="J57" s="230"/>
      <c r="K57" s="239">
        <f t="shared" si="32"/>
        <v>1209</v>
      </c>
      <c r="L57" s="182">
        <f t="shared" si="33"/>
        <v>0</v>
      </c>
      <c r="M57" s="230">
        <f t="shared" si="33"/>
        <v>1209</v>
      </c>
    </row>
    <row r="58" spans="1:13" s="96" customFormat="1" x14ac:dyDescent="0.2">
      <c r="A58" s="181">
        <v>3</v>
      </c>
      <c r="B58" s="181">
        <v>33</v>
      </c>
      <c r="C58" s="181">
        <v>3392</v>
      </c>
      <c r="D58" s="224" t="s">
        <v>165</v>
      </c>
      <c r="E58" s="239">
        <f t="shared" si="0"/>
        <v>3546</v>
      </c>
      <c r="F58" s="182"/>
      <c r="G58" s="230">
        <v>3546</v>
      </c>
      <c r="H58" s="239"/>
      <c r="I58" s="182"/>
      <c r="J58" s="230"/>
      <c r="K58" s="239">
        <f t="shared" si="32"/>
        <v>3546</v>
      </c>
      <c r="L58" s="182">
        <f t="shared" si="33"/>
        <v>0</v>
      </c>
      <c r="M58" s="230">
        <f t="shared" si="33"/>
        <v>3546</v>
      </c>
    </row>
    <row r="59" spans="1:13" s="96" customFormat="1" x14ac:dyDescent="0.2">
      <c r="A59" s="181">
        <v>3</v>
      </c>
      <c r="B59" s="181">
        <v>33</v>
      </c>
      <c r="C59" s="181">
        <v>3399</v>
      </c>
      <c r="D59" s="224" t="s">
        <v>166</v>
      </c>
      <c r="E59" s="239">
        <f t="shared" si="0"/>
        <v>3062</v>
      </c>
      <c r="F59" s="182"/>
      <c r="G59" s="230">
        <v>3062</v>
      </c>
      <c r="H59" s="239"/>
      <c r="I59" s="182"/>
      <c r="J59" s="230"/>
      <c r="K59" s="239">
        <f t="shared" si="32"/>
        <v>3062</v>
      </c>
      <c r="L59" s="182">
        <f t="shared" si="33"/>
        <v>0</v>
      </c>
      <c r="M59" s="230">
        <f t="shared" si="33"/>
        <v>3062</v>
      </c>
    </row>
    <row r="60" spans="1:13" s="96" customFormat="1" x14ac:dyDescent="0.2">
      <c r="A60" s="197" t="s">
        <v>167</v>
      </c>
      <c r="B60" s="183"/>
      <c r="C60" s="183"/>
      <c r="D60" s="223"/>
      <c r="E60" s="240">
        <f>SUM(E50:E59)</f>
        <v>120215</v>
      </c>
      <c r="F60" s="186">
        <f>SUM(F50:F59)</f>
        <v>95126</v>
      </c>
      <c r="G60" s="241">
        <f>SUM(G50:G59)</f>
        <v>25089</v>
      </c>
      <c r="H60" s="240">
        <f>+I60+J60</f>
        <v>0</v>
      </c>
      <c r="I60" s="186"/>
      <c r="J60" s="241">
        <f>SUM(J50:J59)</f>
        <v>0</v>
      </c>
      <c r="K60" s="240">
        <f>SUM(K50:K59)</f>
        <v>120215</v>
      </c>
      <c r="L60" s="186">
        <f>SUM(L50:L59)</f>
        <v>95126</v>
      </c>
      <c r="M60" s="241">
        <f>SUM(M50:M59)</f>
        <v>25089</v>
      </c>
    </row>
    <row r="61" spans="1:13" s="96" customFormat="1" x14ac:dyDescent="0.2">
      <c r="A61" s="199"/>
      <c r="B61" s="181"/>
      <c r="C61" s="181"/>
      <c r="D61" s="224"/>
      <c r="E61" s="239"/>
      <c r="F61" s="182"/>
      <c r="G61" s="230"/>
      <c r="H61" s="239"/>
      <c r="I61" s="182"/>
      <c r="J61" s="230"/>
      <c r="K61" s="239"/>
      <c r="L61" s="182"/>
      <c r="M61" s="230"/>
    </row>
    <row r="62" spans="1:13" s="96" customFormat="1" x14ac:dyDescent="0.2">
      <c r="A62" s="181">
        <v>3</v>
      </c>
      <c r="B62" s="181">
        <v>34</v>
      </c>
      <c r="C62" s="181">
        <v>3412</v>
      </c>
      <c r="D62" s="224" t="s">
        <v>412</v>
      </c>
      <c r="E62" s="239">
        <f t="shared" si="0"/>
        <v>7420</v>
      </c>
      <c r="F62" s="182">
        <v>1205</v>
      </c>
      <c r="G62" s="230">
        <v>6215</v>
      </c>
      <c r="H62" s="239">
        <f>+I62+J62</f>
        <v>0</v>
      </c>
      <c r="I62" s="182"/>
      <c r="J62" s="230"/>
      <c r="K62" s="229">
        <f>+L62+M62</f>
        <v>7420</v>
      </c>
      <c r="L62" s="182">
        <f t="shared" ref="L62:M63" si="34">+F62+I62</f>
        <v>1205</v>
      </c>
      <c r="M62" s="230">
        <f t="shared" si="34"/>
        <v>6215</v>
      </c>
    </row>
    <row r="63" spans="1:13" s="96" customFormat="1" x14ac:dyDescent="0.2">
      <c r="A63" s="181">
        <v>3</v>
      </c>
      <c r="B63" s="181">
        <v>34</v>
      </c>
      <c r="C63" s="181">
        <v>3429</v>
      </c>
      <c r="D63" s="224" t="s">
        <v>169</v>
      </c>
      <c r="E63" s="239">
        <f t="shared" ref="E63" si="35">+F63+G63</f>
        <v>406</v>
      </c>
      <c r="F63" s="182"/>
      <c r="G63" s="230">
        <v>406</v>
      </c>
      <c r="H63" s="239"/>
      <c r="I63" s="182"/>
      <c r="J63" s="230"/>
      <c r="K63" s="229">
        <f>+L63+M63</f>
        <v>406</v>
      </c>
      <c r="L63" s="182">
        <f t="shared" si="34"/>
        <v>0</v>
      </c>
      <c r="M63" s="230">
        <f t="shared" si="34"/>
        <v>406</v>
      </c>
    </row>
    <row r="64" spans="1:13" s="96" customFormat="1" x14ac:dyDescent="0.2">
      <c r="A64" s="197" t="s">
        <v>404</v>
      </c>
      <c r="B64" s="183"/>
      <c r="C64" s="183"/>
      <c r="D64" s="223"/>
      <c r="E64" s="240">
        <f t="shared" ref="E64:M64" si="36">SUM(E62:E63)</f>
        <v>7826</v>
      </c>
      <c r="F64" s="186">
        <f t="shared" si="36"/>
        <v>1205</v>
      </c>
      <c r="G64" s="241">
        <f t="shared" si="36"/>
        <v>6621</v>
      </c>
      <c r="H64" s="240">
        <f t="shared" si="36"/>
        <v>0</v>
      </c>
      <c r="I64" s="186">
        <f t="shared" si="36"/>
        <v>0</v>
      </c>
      <c r="J64" s="241">
        <f t="shared" si="36"/>
        <v>0</v>
      </c>
      <c r="K64" s="240">
        <f t="shared" si="36"/>
        <v>7826</v>
      </c>
      <c r="L64" s="186">
        <f t="shared" si="36"/>
        <v>1205</v>
      </c>
      <c r="M64" s="241">
        <f t="shared" si="36"/>
        <v>6621</v>
      </c>
    </row>
    <row r="65" spans="1:13" s="96" customFormat="1" x14ac:dyDescent="0.2">
      <c r="A65" s="199"/>
      <c r="B65" s="181"/>
      <c r="C65" s="181"/>
      <c r="D65" s="224"/>
      <c r="E65" s="239"/>
      <c r="F65" s="182"/>
      <c r="G65" s="230"/>
      <c r="H65" s="239"/>
      <c r="I65" s="182"/>
      <c r="J65" s="230"/>
      <c r="K65" s="239"/>
      <c r="L65" s="182"/>
      <c r="M65" s="230"/>
    </row>
    <row r="66" spans="1:13" s="96" customFormat="1" x14ac:dyDescent="0.2">
      <c r="A66" s="181">
        <v>3</v>
      </c>
      <c r="B66" s="181">
        <v>35</v>
      </c>
      <c r="C66" s="181">
        <v>3511</v>
      </c>
      <c r="D66" s="215" t="s">
        <v>170</v>
      </c>
      <c r="E66" s="239">
        <f t="shared" si="0"/>
        <v>12442</v>
      </c>
      <c r="F66" s="182">
        <v>2000</v>
      </c>
      <c r="G66" s="230">
        <v>10442</v>
      </c>
      <c r="H66" s="239"/>
      <c r="I66" s="182"/>
      <c r="J66" s="230"/>
      <c r="K66" s="239">
        <f>+L66+M66</f>
        <v>12442</v>
      </c>
      <c r="L66" s="182">
        <f t="shared" ref="L66:M67" si="37">+F66+I66</f>
        <v>2000</v>
      </c>
      <c r="M66" s="230">
        <f t="shared" si="37"/>
        <v>10442</v>
      </c>
    </row>
    <row r="67" spans="1:13" s="96" customFormat="1" x14ac:dyDescent="0.2">
      <c r="A67" s="181">
        <v>3</v>
      </c>
      <c r="B67" s="181">
        <v>35</v>
      </c>
      <c r="C67" s="181">
        <v>3529</v>
      </c>
      <c r="D67" s="215" t="s">
        <v>171</v>
      </c>
      <c r="E67" s="239">
        <f t="shared" si="0"/>
        <v>2114</v>
      </c>
      <c r="F67" s="182">
        <v>2114</v>
      </c>
      <c r="G67" s="230"/>
      <c r="H67" s="239"/>
      <c r="I67" s="182"/>
      <c r="J67" s="230"/>
      <c r="K67" s="239">
        <f>+L67+M67</f>
        <v>2114</v>
      </c>
      <c r="L67" s="182">
        <f t="shared" si="37"/>
        <v>2114</v>
      </c>
      <c r="M67" s="230">
        <f t="shared" si="37"/>
        <v>0</v>
      </c>
    </row>
    <row r="68" spans="1:13" s="96" customFormat="1" x14ac:dyDescent="0.2">
      <c r="A68" s="197" t="s">
        <v>172</v>
      </c>
      <c r="B68" s="183"/>
      <c r="C68" s="183"/>
      <c r="D68" s="217"/>
      <c r="E68" s="240">
        <f t="shared" ref="E68:M68" si="38">SUM(E66:E67)</f>
        <v>14556</v>
      </c>
      <c r="F68" s="184">
        <f t="shared" si="38"/>
        <v>4114</v>
      </c>
      <c r="G68" s="236">
        <f t="shared" si="38"/>
        <v>10442</v>
      </c>
      <c r="H68" s="240">
        <f t="shared" si="38"/>
        <v>0</v>
      </c>
      <c r="I68" s="184">
        <f t="shared" si="38"/>
        <v>0</v>
      </c>
      <c r="J68" s="236">
        <f t="shared" si="38"/>
        <v>0</v>
      </c>
      <c r="K68" s="240">
        <f t="shared" si="38"/>
        <v>14556</v>
      </c>
      <c r="L68" s="186">
        <f t="shared" si="38"/>
        <v>4114</v>
      </c>
      <c r="M68" s="236">
        <f t="shared" si="38"/>
        <v>10442</v>
      </c>
    </row>
    <row r="69" spans="1:13" s="96" customFormat="1" x14ac:dyDescent="0.2">
      <c r="A69" s="199"/>
      <c r="B69" s="181"/>
      <c r="C69" s="181"/>
      <c r="D69" s="215"/>
      <c r="E69" s="239"/>
      <c r="F69" s="182"/>
      <c r="G69" s="230"/>
      <c r="H69" s="239"/>
      <c r="I69" s="182"/>
      <c r="J69" s="230"/>
      <c r="K69" s="239"/>
      <c r="L69" s="182"/>
      <c r="M69" s="230"/>
    </row>
    <row r="70" spans="1:13" s="96" customFormat="1" x14ac:dyDescent="0.2">
      <c r="A70" s="181">
        <v>3</v>
      </c>
      <c r="B70" s="181">
        <v>36</v>
      </c>
      <c r="C70" s="181">
        <v>3612</v>
      </c>
      <c r="D70" s="215" t="s">
        <v>173</v>
      </c>
      <c r="E70" s="239">
        <f t="shared" si="0"/>
        <v>124430</v>
      </c>
      <c r="F70" s="182">
        <v>118098</v>
      </c>
      <c r="G70" s="230">
        <v>6332</v>
      </c>
      <c r="H70" s="239">
        <f>+I70+J70</f>
        <v>51000</v>
      </c>
      <c r="I70" s="182">
        <v>51000</v>
      </c>
      <c r="J70" s="230"/>
      <c r="K70" s="239">
        <f t="shared" ref="K70:K77" si="39">+L70+M70</f>
        <v>175430</v>
      </c>
      <c r="L70" s="182">
        <f t="shared" ref="L70:M77" si="40">+F70+I70</f>
        <v>169098</v>
      </c>
      <c r="M70" s="230">
        <f t="shared" si="40"/>
        <v>6332</v>
      </c>
    </row>
    <row r="71" spans="1:13" s="96" customFormat="1" x14ac:dyDescent="0.2">
      <c r="A71" s="181">
        <v>3</v>
      </c>
      <c r="B71" s="181">
        <v>36</v>
      </c>
      <c r="C71" s="181">
        <v>3613</v>
      </c>
      <c r="D71" s="215" t="s">
        <v>174</v>
      </c>
      <c r="E71" s="239">
        <f t="shared" si="0"/>
        <v>79550</v>
      </c>
      <c r="F71" s="182">
        <v>54500</v>
      </c>
      <c r="G71" s="230">
        <v>25050</v>
      </c>
      <c r="H71" s="239">
        <f>+I71+J71</f>
        <v>0</v>
      </c>
      <c r="I71" s="182"/>
      <c r="J71" s="230"/>
      <c r="K71" s="239">
        <f t="shared" si="39"/>
        <v>79550</v>
      </c>
      <c r="L71" s="182">
        <f t="shared" si="40"/>
        <v>54500</v>
      </c>
      <c r="M71" s="230">
        <f t="shared" si="40"/>
        <v>25050</v>
      </c>
    </row>
    <row r="72" spans="1:13" s="96" customFormat="1" x14ac:dyDescent="0.2">
      <c r="A72" s="181">
        <v>3</v>
      </c>
      <c r="B72" s="181">
        <v>36</v>
      </c>
      <c r="C72" s="181">
        <v>3619</v>
      </c>
      <c r="D72" s="215" t="s">
        <v>175</v>
      </c>
      <c r="E72" s="239">
        <f t="shared" si="0"/>
        <v>162</v>
      </c>
      <c r="F72" s="182">
        <v>162</v>
      </c>
      <c r="G72" s="230"/>
      <c r="H72" s="239"/>
      <c r="I72" s="182"/>
      <c r="J72" s="230"/>
      <c r="K72" s="239">
        <f t="shared" si="39"/>
        <v>162</v>
      </c>
      <c r="L72" s="182">
        <f t="shared" si="40"/>
        <v>162</v>
      </c>
      <c r="M72" s="230">
        <f t="shared" si="40"/>
        <v>0</v>
      </c>
    </row>
    <row r="73" spans="1:13" s="96" customFormat="1" x14ac:dyDescent="0.2">
      <c r="A73" s="181">
        <v>3</v>
      </c>
      <c r="B73" s="181">
        <v>36</v>
      </c>
      <c r="C73" s="181">
        <v>3632</v>
      </c>
      <c r="D73" s="215" t="s">
        <v>176</v>
      </c>
      <c r="E73" s="239">
        <f t="shared" si="0"/>
        <v>20979</v>
      </c>
      <c r="F73" s="182">
        <v>20099</v>
      </c>
      <c r="G73" s="230">
        <v>880</v>
      </c>
      <c r="H73" s="239"/>
      <c r="I73" s="182"/>
      <c r="J73" s="230"/>
      <c r="K73" s="239">
        <f t="shared" si="39"/>
        <v>20979</v>
      </c>
      <c r="L73" s="182">
        <f t="shared" si="40"/>
        <v>20099</v>
      </c>
      <c r="M73" s="230">
        <f t="shared" si="40"/>
        <v>880</v>
      </c>
    </row>
    <row r="74" spans="1:13" s="96" customFormat="1" x14ac:dyDescent="0.2">
      <c r="A74" s="181">
        <v>3</v>
      </c>
      <c r="B74" s="181">
        <v>36</v>
      </c>
      <c r="C74" s="181">
        <v>3633</v>
      </c>
      <c r="D74" s="215" t="s">
        <v>177</v>
      </c>
      <c r="E74" s="239">
        <f>+F74+G74</f>
        <v>469</v>
      </c>
      <c r="F74" s="182"/>
      <c r="G74" s="230">
        <v>469</v>
      </c>
      <c r="H74" s="239"/>
      <c r="I74" s="182"/>
      <c r="J74" s="230"/>
      <c r="K74" s="239">
        <f>+L74+M74</f>
        <v>469</v>
      </c>
      <c r="L74" s="182">
        <f t="shared" si="40"/>
        <v>0</v>
      </c>
      <c r="M74" s="230">
        <f t="shared" si="40"/>
        <v>469</v>
      </c>
    </row>
    <row r="75" spans="1:13" s="96" customFormat="1" x14ac:dyDescent="0.2">
      <c r="A75" s="181">
        <v>3</v>
      </c>
      <c r="B75" s="181">
        <v>36</v>
      </c>
      <c r="C75" s="181">
        <v>3635</v>
      </c>
      <c r="D75" s="215" t="s">
        <v>320</v>
      </c>
      <c r="E75" s="229">
        <f t="shared" si="0"/>
        <v>20</v>
      </c>
      <c r="F75" s="182">
        <v>20</v>
      </c>
      <c r="G75" s="230"/>
      <c r="H75" s="239"/>
      <c r="I75" s="182"/>
      <c r="J75" s="230"/>
      <c r="K75" s="239"/>
      <c r="L75" s="182"/>
      <c r="M75" s="230"/>
    </row>
    <row r="76" spans="1:13" s="96" customFormat="1" x14ac:dyDescent="0.2">
      <c r="A76" s="181">
        <v>3</v>
      </c>
      <c r="B76" s="181">
        <v>36</v>
      </c>
      <c r="C76" s="181">
        <v>3639</v>
      </c>
      <c r="D76" s="215" t="s">
        <v>178</v>
      </c>
      <c r="E76" s="239">
        <f t="shared" si="0"/>
        <v>70792</v>
      </c>
      <c r="F76" s="182">
        <v>33131</v>
      </c>
      <c r="G76" s="230">
        <v>37661</v>
      </c>
      <c r="H76" s="239">
        <f>+I76+J76</f>
        <v>420000</v>
      </c>
      <c r="I76" s="182">
        <v>420000</v>
      </c>
      <c r="J76" s="230"/>
      <c r="K76" s="239">
        <f t="shared" si="39"/>
        <v>490792</v>
      </c>
      <c r="L76" s="182">
        <f t="shared" si="40"/>
        <v>453131</v>
      </c>
      <c r="M76" s="230">
        <f t="shared" si="40"/>
        <v>37661</v>
      </c>
    </row>
    <row r="77" spans="1:13" s="96" customFormat="1" x14ac:dyDescent="0.2">
      <c r="A77" s="181">
        <v>3</v>
      </c>
      <c r="B77" s="181">
        <v>36</v>
      </c>
      <c r="C77" s="181">
        <v>3699</v>
      </c>
      <c r="D77" s="215" t="s">
        <v>431</v>
      </c>
      <c r="E77" s="239">
        <f t="shared" si="0"/>
        <v>2500</v>
      </c>
      <c r="F77" s="182"/>
      <c r="G77" s="230">
        <v>2500</v>
      </c>
      <c r="H77" s="239"/>
      <c r="I77" s="182"/>
      <c r="J77" s="230"/>
      <c r="K77" s="239">
        <f t="shared" si="39"/>
        <v>2500</v>
      </c>
      <c r="L77" s="182">
        <f t="shared" si="40"/>
        <v>0</v>
      </c>
      <c r="M77" s="230">
        <f t="shared" si="40"/>
        <v>2500</v>
      </c>
    </row>
    <row r="78" spans="1:13" s="96" customFormat="1" x14ac:dyDescent="0.2">
      <c r="A78" s="197" t="s">
        <v>179</v>
      </c>
      <c r="B78" s="183"/>
      <c r="C78" s="183"/>
      <c r="D78" s="217"/>
      <c r="E78" s="240">
        <f>SUM(E70:E77)</f>
        <v>298902</v>
      </c>
      <c r="F78" s="184">
        <f>SUM(F70:F77)</f>
        <v>226010</v>
      </c>
      <c r="G78" s="236">
        <f>SUM(G70:G77)</f>
        <v>72892</v>
      </c>
      <c r="H78" s="240">
        <f>+I78+J78</f>
        <v>471000</v>
      </c>
      <c r="I78" s="184">
        <f>SUM(I70:I76)</f>
        <v>471000</v>
      </c>
      <c r="J78" s="236">
        <f>SUM(J69:J77)</f>
        <v>0</v>
      </c>
      <c r="K78" s="240">
        <f>SUM(K70:K77)</f>
        <v>769882</v>
      </c>
      <c r="L78" s="184">
        <f>SUM(L70:L77)</f>
        <v>696990</v>
      </c>
      <c r="M78" s="236">
        <f>SUM(M70:M77)</f>
        <v>72892</v>
      </c>
    </row>
    <row r="79" spans="1:13" s="96" customFormat="1" x14ac:dyDescent="0.2">
      <c r="A79" s="199"/>
      <c r="B79" s="181"/>
      <c r="C79" s="181"/>
      <c r="D79" s="215"/>
      <c r="E79" s="239"/>
      <c r="F79" s="182"/>
      <c r="G79" s="230"/>
      <c r="H79" s="239"/>
      <c r="I79" s="182"/>
      <c r="J79" s="230"/>
      <c r="K79" s="239"/>
      <c r="L79" s="182"/>
      <c r="M79" s="230"/>
    </row>
    <row r="80" spans="1:13" s="96" customFormat="1" x14ac:dyDescent="0.2">
      <c r="A80" s="181">
        <v>3</v>
      </c>
      <c r="B80" s="181">
        <v>37</v>
      </c>
      <c r="C80" s="181">
        <v>3722</v>
      </c>
      <c r="D80" s="215" t="s">
        <v>180</v>
      </c>
      <c r="E80" s="239">
        <f>+F80+G80</f>
        <v>6</v>
      </c>
      <c r="F80" s="182"/>
      <c r="G80" s="230">
        <v>6</v>
      </c>
      <c r="H80" s="239"/>
      <c r="I80" s="182"/>
      <c r="J80" s="230"/>
      <c r="K80" s="239">
        <f>+L80+M80</f>
        <v>6</v>
      </c>
      <c r="L80" s="182">
        <f t="shared" ref="L80" si="41">+F80+I80</f>
        <v>0</v>
      </c>
      <c r="M80" s="230">
        <f t="shared" ref="M80" si="42">+G80+J80</f>
        <v>6</v>
      </c>
    </row>
    <row r="81" spans="1:13" s="96" customFormat="1" x14ac:dyDescent="0.2">
      <c r="A81" s="181">
        <v>3</v>
      </c>
      <c r="B81" s="181">
        <v>37</v>
      </c>
      <c r="C81" s="181">
        <v>3745</v>
      </c>
      <c r="D81" s="215" t="s">
        <v>181</v>
      </c>
      <c r="E81" s="239">
        <f>+F81+G81</f>
        <v>1955</v>
      </c>
      <c r="F81" s="182">
        <v>860</v>
      </c>
      <c r="G81" s="230">
        <v>1095</v>
      </c>
      <c r="H81" s="239">
        <f>+I81+J81</f>
        <v>0</v>
      </c>
      <c r="I81" s="182"/>
      <c r="J81" s="230"/>
      <c r="K81" s="239">
        <f>+L81+M81</f>
        <v>1955</v>
      </c>
      <c r="L81" s="182">
        <f t="shared" ref="L81:M82" si="43">+F81+I81</f>
        <v>860</v>
      </c>
      <c r="M81" s="230">
        <f t="shared" si="43"/>
        <v>1095</v>
      </c>
    </row>
    <row r="82" spans="1:13" s="96" customFormat="1" x14ac:dyDescent="0.2">
      <c r="A82" s="181">
        <v>3</v>
      </c>
      <c r="B82" s="181">
        <v>37</v>
      </c>
      <c r="C82" s="181">
        <v>3769</v>
      </c>
      <c r="D82" s="215" t="s">
        <v>182</v>
      </c>
      <c r="E82" s="239">
        <f>+F82+G82</f>
        <v>305</v>
      </c>
      <c r="F82" s="182">
        <v>305</v>
      </c>
      <c r="G82" s="230"/>
      <c r="H82" s="239"/>
      <c r="I82" s="182"/>
      <c r="J82" s="230"/>
      <c r="K82" s="239">
        <f>+L82+M82</f>
        <v>305</v>
      </c>
      <c r="L82" s="182">
        <f>+F82+I82</f>
        <v>305</v>
      </c>
      <c r="M82" s="230">
        <f t="shared" si="43"/>
        <v>0</v>
      </c>
    </row>
    <row r="83" spans="1:13" s="96" customFormat="1" x14ac:dyDescent="0.2">
      <c r="A83" s="197" t="s">
        <v>183</v>
      </c>
      <c r="B83" s="183"/>
      <c r="C83" s="183"/>
      <c r="D83" s="217"/>
      <c r="E83" s="240">
        <f t="shared" ref="E83:M83" si="44">SUM(E80:E82)</f>
        <v>2266</v>
      </c>
      <c r="F83" s="184">
        <f t="shared" si="44"/>
        <v>1165</v>
      </c>
      <c r="G83" s="236">
        <f t="shared" si="44"/>
        <v>1101</v>
      </c>
      <c r="H83" s="240">
        <f t="shared" si="44"/>
        <v>0</v>
      </c>
      <c r="I83" s="184">
        <f t="shared" si="44"/>
        <v>0</v>
      </c>
      <c r="J83" s="236">
        <f t="shared" si="44"/>
        <v>0</v>
      </c>
      <c r="K83" s="240">
        <f t="shared" si="44"/>
        <v>2266</v>
      </c>
      <c r="L83" s="184">
        <f t="shared" si="44"/>
        <v>1165</v>
      </c>
      <c r="M83" s="236">
        <f t="shared" si="44"/>
        <v>1101</v>
      </c>
    </row>
    <row r="84" spans="1:13" s="96" customFormat="1" ht="13.5" thickBot="1" x14ac:dyDescent="0.25">
      <c r="A84" s="206"/>
      <c r="B84" s="97"/>
      <c r="C84" s="97"/>
      <c r="D84" s="218"/>
      <c r="E84" s="244"/>
      <c r="F84" s="209"/>
      <c r="G84" s="238"/>
      <c r="H84" s="244"/>
      <c r="I84" s="209"/>
      <c r="J84" s="238"/>
      <c r="K84" s="244"/>
      <c r="L84" s="209"/>
      <c r="M84" s="238"/>
    </row>
    <row r="85" spans="1:13" s="96" customFormat="1" ht="14.25" thickTop="1" thickBot="1" x14ac:dyDescent="0.25">
      <c r="A85" s="205" t="s">
        <v>403</v>
      </c>
      <c r="B85" s="187"/>
      <c r="C85" s="187"/>
      <c r="D85" s="219"/>
      <c r="E85" s="231">
        <f>+E48+E60+E64+E68+E78+E83</f>
        <v>470869</v>
      </c>
      <c r="F85" s="189">
        <f>+F48+F60+F64+F68+F78+F83</f>
        <v>334451</v>
      </c>
      <c r="G85" s="232">
        <f>+G48+G60+G64+G68+G78+G83</f>
        <v>136418</v>
      </c>
      <c r="H85" s="231">
        <f>+I85+J85</f>
        <v>471000</v>
      </c>
      <c r="I85" s="189">
        <f>I48+I60+I64+I68+I78+I83</f>
        <v>471000</v>
      </c>
      <c r="J85" s="232">
        <f>J48+J60+J64+J68+J78+J83</f>
        <v>0</v>
      </c>
      <c r="K85" s="231">
        <f>+K83+K78+K68+K64+K60+K48</f>
        <v>941849</v>
      </c>
      <c r="L85" s="189">
        <f>+L83+L78+L68+L64+L60+L48</f>
        <v>805431</v>
      </c>
      <c r="M85" s="232">
        <f>+M83+M78+M68+M64+M60+M48</f>
        <v>136418</v>
      </c>
    </row>
    <row r="86" spans="1:13" s="96" customFormat="1" ht="13.5" thickTop="1" x14ac:dyDescent="0.2">
      <c r="A86" s="220"/>
      <c r="B86" s="105"/>
      <c r="C86" s="105"/>
      <c r="D86" s="215"/>
      <c r="E86" s="229"/>
      <c r="F86" s="182"/>
      <c r="G86" s="230"/>
      <c r="H86" s="229"/>
      <c r="I86" s="182"/>
      <c r="J86" s="230"/>
      <c r="K86" s="229"/>
      <c r="L86" s="182"/>
      <c r="M86" s="230"/>
    </row>
    <row r="87" spans="1:13" s="96" customFormat="1" x14ac:dyDescent="0.2">
      <c r="A87" s="181">
        <v>4</v>
      </c>
      <c r="B87" s="181">
        <v>43</v>
      </c>
      <c r="C87" s="181">
        <v>4341</v>
      </c>
      <c r="D87" s="215" t="s">
        <v>413</v>
      </c>
      <c r="E87" s="239">
        <f t="shared" ref="E87" si="45">+F87+G87</f>
        <v>150</v>
      </c>
      <c r="F87" s="182">
        <v>150</v>
      </c>
      <c r="G87" s="230"/>
      <c r="H87" s="239"/>
      <c r="I87" s="182"/>
      <c r="J87" s="230"/>
      <c r="K87" s="239">
        <f t="shared" ref="K87" si="46">+L87+M87</f>
        <v>150</v>
      </c>
      <c r="L87" s="182">
        <f t="shared" ref="L87" si="47">+F87+I87</f>
        <v>150</v>
      </c>
      <c r="M87" s="230">
        <f t="shared" ref="M87" si="48">+G87+J87</f>
        <v>0</v>
      </c>
    </row>
    <row r="88" spans="1:13" s="96" customFormat="1" x14ac:dyDescent="0.2">
      <c r="A88" s="181">
        <v>4</v>
      </c>
      <c r="B88" s="181">
        <v>43</v>
      </c>
      <c r="C88" s="181">
        <v>4357</v>
      </c>
      <c r="D88" s="383" t="s">
        <v>185</v>
      </c>
      <c r="E88" s="239">
        <f t="shared" ref="E88:E90" si="49">+F88+G88</f>
        <v>240</v>
      </c>
      <c r="F88" s="182"/>
      <c r="G88" s="230">
        <v>240</v>
      </c>
      <c r="H88" s="239"/>
      <c r="I88" s="182"/>
      <c r="J88" s="230"/>
      <c r="K88" s="239">
        <f t="shared" ref="K88:K89" si="50">+L88+M88</f>
        <v>240</v>
      </c>
      <c r="L88" s="182">
        <f t="shared" ref="L88:M91" si="51">+F88+I88</f>
        <v>0</v>
      </c>
      <c r="M88" s="230">
        <f t="shared" si="51"/>
        <v>240</v>
      </c>
    </row>
    <row r="89" spans="1:13" s="96" customFormat="1" x14ac:dyDescent="0.2">
      <c r="A89" s="181">
        <v>4</v>
      </c>
      <c r="B89" s="181">
        <v>43</v>
      </c>
      <c r="C89" s="181">
        <v>4359</v>
      </c>
      <c r="D89" s="215" t="s">
        <v>269</v>
      </c>
      <c r="E89" s="239">
        <f t="shared" si="49"/>
        <v>478</v>
      </c>
      <c r="F89" s="182"/>
      <c r="G89" s="230">
        <v>478</v>
      </c>
      <c r="H89" s="239"/>
      <c r="I89" s="182"/>
      <c r="J89" s="230"/>
      <c r="K89" s="239">
        <f t="shared" si="50"/>
        <v>478</v>
      </c>
      <c r="L89" s="182">
        <f t="shared" si="51"/>
        <v>0</v>
      </c>
      <c r="M89" s="230">
        <f>+G89+J89</f>
        <v>478</v>
      </c>
    </row>
    <row r="90" spans="1:13" s="96" customFormat="1" x14ac:dyDescent="0.2">
      <c r="A90" s="181">
        <v>4</v>
      </c>
      <c r="B90" s="181">
        <v>43</v>
      </c>
      <c r="C90" s="181">
        <v>4374</v>
      </c>
      <c r="D90" s="215" t="s">
        <v>270</v>
      </c>
      <c r="E90" s="229">
        <f t="shared" si="49"/>
        <v>663</v>
      </c>
      <c r="F90" s="182">
        <v>663</v>
      </c>
      <c r="G90" s="230"/>
      <c r="H90" s="239"/>
      <c r="I90" s="182"/>
      <c r="J90" s="230"/>
      <c r="K90" s="239"/>
      <c r="L90" s="182"/>
      <c r="M90" s="230"/>
    </row>
    <row r="91" spans="1:13" s="96" customFormat="1" x14ac:dyDescent="0.2">
      <c r="A91" s="181">
        <v>4</v>
      </c>
      <c r="B91" s="181">
        <v>43</v>
      </c>
      <c r="C91" s="181">
        <v>4379</v>
      </c>
      <c r="D91" s="215" t="s">
        <v>350</v>
      </c>
      <c r="E91" s="239">
        <f>+F91+G91</f>
        <v>300</v>
      </c>
      <c r="F91" s="182"/>
      <c r="G91" s="230">
        <v>300</v>
      </c>
      <c r="H91" s="239"/>
      <c r="I91" s="182"/>
      <c r="J91" s="230"/>
      <c r="K91" s="239">
        <f>+L91+M91</f>
        <v>300</v>
      </c>
      <c r="L91" s="182">
        <f t="shared" si="51"/>
        <v>0</v>
      </c>
      <c r="M91" s="230">
        <f>+G91+J91</f>
        <v>300</v>
      </c>
    </row>
    <row r="92" spans="1:13" s="96" customFormat="1" x14ac:dyDescent="0.2">
      <c r="A92" s="197" t="s">
        <v>405</v>
      </c>
      <c r="B92" s="183"/>
      <c r="C92" s="183"/>
      <c r="D92" s="217"/>
      <c r="E92" s="240">
        <f t="shared" ref="E92:M92" si="52">SUM(E87:E91)</f>
        <v>1831</v>
      </c>
      <c r="F92" s="184">
        <f t="shared" si="52"/>
        <v>813</v>
      </c>
      <c r="G92" s="236">
        <f t="shared" si="52"/>
        <v>1018</v>
      </c>
      <c r="H92" s="240">
        <f t="shared" si="52"/>
        <v>0</v>
      </c>
      <c r="I92" s="184">
        <f t="shared" si="52"/>
        <v>0</v>
      </c>
      <c r="J92" s="236">
        <f t="shared" si="52"/>
        <v>0</v>
      </c>
      <c r="K92" s="240">
        <f t="shared" si="52"/>
        <v>1168</v>
      </c>
      <c r="L92" s="184">
        <f t="shared" si="52"/>
        <v>150</v>
      </c>
      <c r="M92" s="236">
        <f t="shared" si="52"/>
        <v>1018</v>
      </c>
    </row>
    <row r="93" spans="1:13" s="96" customFormat="1" ht="13.5" thickBot="1" x14ac:dyDescent="0.25">
      <c r="A93" s="206"/>
      <c r="B93" s="97"/>
      <c r="C93" s="97"/>
      <c r="D93" s="218"/>
      <c r="E93" s="244"/>
      <c r="F93" s="209"/>
      <c r="G93" s="238"/>
      <c r="H93" s="244"/>
      <c r="I93" s="209"/>
      <c r="J93" s="238"/>
      <c r="K93" s="244"/>
      <c r="L93" s="209"/>
      <c r="M93" s="238" t="s">
        <v>186</v>
      </c>
    </row>
    <row r="94" spans="1:13" s="96" customFormat="1" ht="14.25" thickTop="1" thickBot="1" x14ac:dyDescent="0.25">
      <c r="A94" s="205" t="s">
        <v>187</v>
      </c>
      <c r="B94" s="187"/>
      <c r="C94" s="187"/>
      <c r="D94" s="219"/>
      <c r="E94" s="231">
        <f>+E92</f>
        <v>1831</v>
      </c>
      <c r="F94" s="189">
        <f>+F92</f>
        <v>813</v>
      </c>
      <c r="G94" s="232">
        <f>+G92</f>
        <v>1018</v>
      </c>
      <c r="H94" s="231">
        <f>+I94+J94</f>
        <v>0</v>
      </c>
      <c r="I94" s="189">
        <f>I92</f>
        <v>0</v>
      </c>
      <c r="J94" s="232">
        <f>+J92</f>
        <v>0</v>
      </c>
      <c r="K94" s="231">
        <f>+K92</f>
        <v>1168</v>
      </c>
      <c r="L94" s="189">
        <f>+L92</f>
        <v>150</v>
      </c>
      <c r="M94" s="232">
        <f>+M92</f>
        <v>1018</v>
      </c>
    </row>
    <row r="95" spans="1:13" s="96" customFormat="1" ht="13.5" thickTop="1" x14ac:dyDescent="0.2">
      <c r="A95" s="220"/>
      <c r="B95" s="105"/>
      <c r="C95" s="105"/>
      <c r="D95" s="221"/>
      <c r="E95" s="229"/>
      <c r="F95" s="182"/>
      <c r="G95" s="230"/>
      <c r="H95" s="229"/>
      <c r="I95" s="182"/>
      <c r="J95" s="230"/>
      <c r="K95" s="229"/>
      <c r="L95" s="182"/>
      <c r="M95" s="230"/>
    </row>
    <row r="96" spans="1:13" s="96" customFormat="1" x14ac:dyDescent="0.2">
      <c r="A96" s="181">
        <v>5</v>
      </c>
      <c r="B96" s="181">
        <v>51</v>
      </c>
      <c r="C96" s="181">
        <v>5171</v>
      </c>
      <c r="D96" s="215" t="s">
        <v>451</v>
      </c>
      <c r="E96" s="239">
        <f>+F96+G96</f>
        <v>80</v>
      </c>
      <c r="F96" s="182">
        <v>80</v>
      </c>
      <c r="G96" s="230"/>
      <c r="H96" s="239">
        <f>+I96+J96</f>
        <v>0</v>
      </c>
      <c r="I96" s="182"/>
      <c r="J96" s="230"/>
      <c r="K96" s="239">
        <f>+L96+M96</f>
        <v>80</v>
      </c>
      <c r="L96" s="182">
        <f>+F96+I96</f>
        <v>80</v>
      </c>
      <c r="M96" s="230">
        <f>+G96+J96</f>
        <v>0</v>
      </c>
    </row>
    <row r="97" spans="1:13" s="96" customFormat="1" x14ac:dyDescent="0.2">
      <c r="A97" s="197" t="s">
        <v>452</v>
      </c>
      <c r="B97" s="183"/>
      <c r="C97" s="183"/>
      <c r="D97" s="217"/>
      <c r="E97" s="240">
        <f>SUM(E96)</f>
        <v>80</v>
      </c>
      <c r="F97" s="184">
        <f>+F96</f>
        <v>80</v>
      </c>
      <c r="G97" s="236">
        <f>+G96</f>
        <v>0</v>
      </c>
      <c r="H97" s="240">
        <f>+I97+J97</f>
        <v>0</v>
      </c>
      <c r="I97" s="184">
        <f>SUM(I96)</f>
        <v>0</v>
      </c>
      <c r="J97" s="236"/>
      <c r="K97" s="240">
        <f>SUM(K96)</f>
        <v>80</v>
      </c>
      <c r="L97" s="184">
        <f>SUM(L96)</f>
        <v>80</v>
      </c>
      <c r="M97" s="236">
        <f>SUM(M96)</f>
        <v>0</v>
      </c>
    </row>
    <row r="98" spans="1:13" s="96" customFormat="1" x14ac:dyDescent="0.2">
      <c r="A98" s="220"/>
      <c r="B98" s="105"/>
      <c r="C98" s="105"/>
      <c r="D98" s="221"/>
      <c r="E98" s="229"/>
      <c r="F98" s="182"/>
      <c r="G98" s="230"/>
      <c r="H98" s="229"/>
      <c r="I98" s="182"/>
      <c r="J98" s="230"/>
      <c r="K98" s="229"/>
      <c r="L98" s="182"/>
      <c r="M98" s="230"/>
    </row>
    <row r="99" spans="1:13" s="96" customFormat="1" x14ac:dyDescent="0.2">
      <c r="A99" s="181">
        <v>5</v>
      </c>
      <c r="B99" s="181">
        <v>53</v>
      </c>
      <c r="C99" s="181">
        <v>5311</v>
      </c>
      <c r="D99" s="215" t="s">
        <v>188</v>
      </c>
      <c r="E99" s="239">
        <f>+F99+G99</f>
        <v>22866</v>
      </c>
      <c r="F99" s="182">
        <v>22706</v>
      </c>
      <c r="G99" s="230">
        <v>160</v>
      </c>
      <c r="H99" s="239">
        <f>+I99+J99</f>
        <v>100</v>
      </c>
      <c r="I99" s="182">
        <v>100</v>
      </c>
      <c r="J99" s="230"/>
      <c r="K99" s="239">
        <f>+L99+M99</f>
        <v>22966</v>
      </c>
      <c r="L99" s="182">
        <f>+F99+I99</f>
        <v>22806</v>
      </c>
      <c r="M99" s="230">
        <f>+G99+J99</f>
        <v>160</v>
      </c>
    </row>
    <row r="100" spans="1:13" s="96" customFormat="1" x14ac:dyDescent="0.2">
      <c r="A100" s="197" t="s">
        <v>189</v>
      </c>
      <c r="B100" s="183"/>
      <c r="C100" s="183"/>
      <c r="D100" s="217"/>
      <c r="E100" s="240">
        <f>SUM(E99)</f>
        <v>22866</v>
      </c>
      <c r="F100" s="184">
        <f>+F99</f>
        <v>22706</v>
      </c>
      <c r="G100" s="236">
        <f>+G99</f>
        <v>160</v>
      </c>
      <c r="H100" s="240">
        <f>+I100+J100</f>
        <v>100</v>
      </c>
      <c r="I100" s="184">
        <f>SUM(I99)</f>
        <v>100</v>
      </c>
      <c r="J100" s="236"/>
      <c r="K100" s="240">
        <f>SUM(K99)</f>
        <v>22966</v>
      </c>
      <c r="L100" s="184">
        <f>SUM(L99)</f>
        <v>22806</v>
      </c>
      <c r="M100" s="236">
        <f>SUM(M99)</f>
        <v>160</v>
      </c>
    </row>
    <row r="101" spans="1:13" s="96" customFormat="1" x14ac:dyDescent="0.2">
      <c r="A101" s="199"/>
      <c r="B101" s="181"/>
      <c r="C101" s="181"/>
      <c r="D101" s="215"/>
      <c r="E101" s="245"/>
      <c r="F101" s="185"/>
      <c r="G101" s="234"/>
      <c r="H101" s="245"/>
      <c r="I101" s="185"/>
      <c r="J101" s="234"/>
      <c r="K101" s="245"/>
      <c r="L101" s="185"/>
      <c r="M101" s="234"/>
    </row>
    <row r="102" spans="1:13" s="96" customFormat="1" x14ac:dyDescent="0.2">
      <c r="A102" s="181">
        <v>5</v>
      </c>
      <c r="B102" s="181">
        <v>55</v>
      </c>
      <c r="C102" s="181">
        <v>5512</v>
      </c>
      <c r="D102" s="215" t="s">
        <v>190</v>
      </c>
      <c r="E102" s="239">
        <f>+F102+G102</f>
        <v>246</v>
      </c>
      <c r="F102" s="182"/>
      <c r="G102" s="230">
        <v>246</v>
      </c>
      <c r="H102" s="239"/>
      <c r="I102" s="182"/>
      <c r="J102" s="230"/>
      <c r="K102" s="239">
        <f>+L102+M102</f>
        <v>246</v>
      </c>
      <c r="L102" s="182">
        <f t="shared" ref="L102" si="53">+F102+I102</f>
        <v>0</v>
      </c>
      <c r="M102" s="230">
        <f>+G102+J102</f>
        <v>246</v>
      </c>
    </row>
    <row r="103" spans="1:13" s="96" customFormat="1" x14ac:dyDescent="0.2">
      <c r="A103" s="197" t="s">
        <v>280</v>
      </c>
      <c r="B103" s="183"/>
      <c r="C103" s="183"/>
      <c r="D103" s="217"/>
      <c r="E103" s="240">
        <f>SUM(E102)</f>
        <v>246</v>
      </c>
      <c r="F103" s="184">
        <f>+F102</f>
        <v>0</v>
      </c>
      <c r="G103" s="236">
        <f>G102</f>
        <v>246</v>
      </c>
      <c r="H103" s="240"/>
      <c r="I103" s="184"/>
      <c r="J103" s="236"/>
      <c r="K103" s="240">
        <f>SUM(K102)</f>
        <v>246</v>
      </c>
      <c r="L103" s="184">
        <f>SUM(L102)</f>
        <v>0</v>
      </c>
      <c r="M103" s="241">
        <f>SUM(M102)</f>
        <v>246</v>
      </c>
    </row>
    <row r="104" spans="1:13" s="96" customFormat="1" ht="13.5" thickBot="1" x14ac:dyDescent="0.25">
      <c r="A104" s="100"/>
      <c r="B104" s="99"/>
      <c r="C104" s="99"/>
      <c r="D104" s="225"/>
      <c r="E104" s="242"/>
      <c r="F104" s="210"/>
      <c r="G104" s="243"/>
      <c r="H104" s="242"/>
      <c r="I104" s="210"/>
      <c r="J104" s="243"/>
      <c r="K104" s="242"/>
      <c r="L104" s="210"/>
      <c r="M104" s="243"/>
    </row>
    <row r="105" spans="1:13" s="96" customFormat="1" ht="14.25" thickTop="1" thickBot="1" x14ac:dyDescent="0.25">
      <c r="A105" s="205" t="s">
        <v>191</v>
      </c>
      <c r="B105" s="187"/>
      <c r="C105" s="187"/>
      <c r="D105" s="219"/>
      <c r="E105" s="231">
        <f>E97+E100+E103</f>
        <v>23192</v>
      </c>
      <c r="F105" s="189">
        <f>+F97+F100+F103</f>
        <v>22786</v>
      </c>
      <c r="G105" s="232">
        <f>+G100+G103</f>
        <v>406</v>
      </c>
      <c r="H105" s="231">
        <f>+I105+J105</f>
        <v>100</v>
      </c>
      <c r="I105" s="189">
        <f>I100+I103</f>
        <v>100</v>
      </c>
      <c r="J105" s="232">
        <f>J100+J103</f>
        <v>0</v>
      </c>
      <c r="K105" s="231">
        <f>+K100+K103</f>
        <v>23212</v>
      </c>
      <c r="L105" s="189">
        <f>+L100+L103</f>
        <v>22806</v>
      </c>
      <c r="M105" s="232">
        <f>+M100+M103</f>
        <v>406</v>
      </c>
    </row>
    <row r="106" spans="1:13" s="96" customFormat="1" ht="13.5" thickTop="1" x14ac:dyDescent="0.2">
      <c r="A106" s="220"/>
      <c r="B106" s="105"/>
      <c r="C106" s="105"/>
      <c r="D106" s="221"/>
      <c r="E106" s="229"/>
      <c r="F106" s="182"/>
      <c r="G106" s="230"/>
      <c r="H106" s="229"/>
      <c r="I106" s="182"/>
      <c r="J106" s="230"/>
      <c r="K106" s="229"/>
      <c r="L106" s="182"/>
      <c r="M106" s="230"/>
    </row>
    <row r="107" spans="1:13" s="96" customFormat="1" x14ac:dyDescent="0.2">
      <c r="A107" s="181">
        <v>6</v>
      </c>
      <c r="B107" s="181">
        <v>61</v>
      </c>
      <c r="C107" s="181">
        <v>6171</v>
      </c>
      <c r="D107" s="215" t="s">
        <v>192</v>
      </c>
      <c r="E107" s="239">
        <f>+F107+G107</f>
        <v>46872</v>
      </c>
      <c r="F107" s="182">
        <v>13668</v>
      </c>
      <c r="G107" s="230">
        <v>33204</v>
      </c>
      <c r="H107" s="239">
        <f>+I107+J107</f>
        <v>50</v>
      </c>
      <c r="I107" s="182"/>
      <c r="J107" s="230">
        <v>50</v>
      </c>
      <c r="K107" s="239">
        <f>+L107+M107</f>
        <v>46922</v>
      </c>
      <c r="L107" s="182">
        <f>+F107+I107</f>
        <v>13668</v>
      </c>
      <c r="M107" s="230">
        <f>+G107+J107</f>
        <v>33254</v>
      </c>
    </row>
    <row r="108" spans="1:13" s="96" customFormat="1" x14ac:dyDescent="0.2">
      <c r="A108" s="197" t="s">
        <v>406</v>
      </c>
      <c r="B108" s="183"/>
      <c r="C108" s="183"/>
      <c r="D108" s="217"/>
      <c r="E108" s="240">
        <f>SUM(E107)</f>
        <v>46872</v>
      </c>
      <c r="F108" s="184">
        <f>+F107</f>
        <v>13668</v>
      </c>
      <c r="G108" s="236">
        <f>+G107</f>
        <v>33204</v>
      </c>
      <c r="H108" s="240">
        <f>+I108+J108</f>
        <v>50</v>
      </c>
      <c r="I108" s="184">
        <f>+I107</f>
        <v>0</v>
      </c>
      <c r="J108" s="236">
        <f>+J107</f>
        <v>50</v>
      </c>
      <c r="K108" s="240">
        <f>SUM(K107)</f>
        <v>46922</v>
      </c>
      <c r="L108" s="184">
        <f>SUM(L107)</f>
        <v>13668</v>
      </c>
      <c r="M108" s="236">
        <f>+M107</f>
        <v>33254</v>
      </c>
    </row>
    <row r="109" spans="1:13" s="96" customFormat="1" x14ac:dyDescent="0.2">
      <c r="A109" s="199"/>
      <c r="B109" s="181"/>
      <c r="C109" s="181"/>
      <c r="D109" s="215"/>
      <c r="E109" s="239"/>
      <c r="F109" s="182"/>
      <c r="G109" s="230"/>
      <c r="H109" s="245"/>
      <c r="I109" s="182"/>
      <c r="J109" s="230"/>
      <c r="K109" s="239"/>
      <c r="L109" s="182"/>
      <c r="M109" s="230"/>
    </row>
    <row r="110" spans="1:13" s="96" customFormat="1" x14ac:dyDescent="0.2">
      <c r="A110" s="181">
        <v>6</v>
      </c>
      <c r="B110" s="181">
        <v>62</v>
      </c>
      <c r="C110" s="181">
        <v>6211</v>
      </c>
      <c r="D110" s="215" t="s">
        <v>193</v>
      </c>
      <c r="E110" s="239">
        <f>+F110+G110</f>
        <v>30</v>
      </c>
      <c r="F110" s="182">
        <v>30</v>
      </c>
      <c r="G110" s="230"/>
      <c r="H110" s="239"/>
      <c r="I110" s="182"/>
      <c r="J110" s="230"/>
      <c r="K110" s="239">
        <f>+L110+M110</f>
        <v>30</v>
      </c>
      <c r="L110" s="182">
        <f>+F110+I110</f>
        <v>30</v>
      </c>
      <c r="M110" s="230">
        <f t="shared" ref="M110" si="54">+G110+J110</f>
        <v>0</v>
      </c>
    </row>
    <row r="111" spans="1:13" s="96" customFormat="1" x14ac:dyDescent="0.2">
      <c r="A111" s="197" t="s">
        <v>194</v>
      </c>
      <c r="B111" s="183"/>
      <c r="C111" s="183"/>
      <c r="D111" s="217"/>
      <c r="E111" s="240">
        <f>SUM(E110)</f>
        <v>30</v>
      </c>
      <c r="F111" s="184">
        <f>+F110</f>
        <v>30</v>
      </c>
      <c r="G111" s="236"/>
      <c r="H111" s="240"/>
      <c r="I111" s="184"/>
      <c r="J111" s="236"/>
      <c r="K111" s="240">
        <f>SUM(K110)</f>
        <v>30</v>
      </c>
      <c r="L111" s="184">
        <f>SUM(L110)</f>
        <v>30</v>
      </c>
      <c r="M111" s="236"/>
    </row>
    <row r="112" spans="1:13" s="96" customFormat="1" x14ac:dyDescent="0.2">
      <c r="A112" s="199"/>
      <c r="B112" s="181"/>
      <c r="C112" s="181"/>
      <c r="D112" s="215"/>
      <c r="E112" s="239"/>
      <c r="F112" s="182"/>
      <c r="G112" s="230"/>
      <c r="H112" s="239"/>
      <c r="I112" s="182"/>
      <c r="J112" s="230"/>
      <c r="K112" s="239"/>
      <c r="L112" s="182"/>
      <c r="M112" s="230"/>
    </row>
    <row r="113" spans="1:13" s="96" customFormat="1" x14ac:dyDescent="0.2">
      <c r="A113" s="181">
        <v>6</v>
      </c>
      <c r="B113" s="181">
        <v>63</v>
      </c>
      <c r="C113" s="181">
        <v>6310</v>
      </c>
      <c r="D113" s="215" t="s">
        <v>195</v>
      </c>
      <c r="E113" s="239">
        <f>+F113+G113</f>
        <v>93965</v>
      </c>
      <c r="F113" s="182">
        <v>66310</v>
      </c>
      <c r="G113" s="230">
        <v>27655</v>
      </c>
      <c r="H113" s="239">
        <f>+I113+J113</f>
        <v>0</v>
      </c>
      <c r="I113" s="182"/>
      <c r="J113" s="230"/>
      <c r="K113" s="239">
        <f>+L113+M113</f>
        <v>93965</v>
      </c>
      <c r="L113" s="182">
        <f>+F113+I113</f>
        <v>66310</v>
      </c>
      <c r="M113" s="230">
        <f>+G113+J113</f>
        <v>27655</v>
      </c>
    </row>
    <row r="114" spans="1:13" s="96" customFormat="1" x14ac:dyDescent="0.2">
      <c r="A114" s="197" t="s">
        <v>196</v>
      </c>
      <c r="B114" s="183"/>
      <c r="C114" s="183"/>
      <c r="D114" s="217"/>
      <c r="E114" s="240">
        <f>SUM(E113:E113)</f>
        <v>93965</v>
      </c>
      <c r="F114" s="184">
        <f>SUM(F113:F113)</f>
        <v>66310</v>
      </c>
      <c r="G114" s="236">
        <f>SUM(G113:G113)</f>
        <v>27655</v>
      </c>
      <c r="H114" s="240">
        <f>SUM(H113:H113)</f>
        <v>0</v>
      </c>
      <c r="I114" s="184">
        <f t="shared" ref="I114:J114" si="55">SUM(I113:I113)</f>
        <v>0</v>
      </c>
      <c r="J114" s="236">
        <f t="shared" si="55"/>
        <v>0</v>
      </c>
      <c r="K114" s="240">
        <f>SUM(K113:K113)</f>
        <v>93965</v>
      </c>
      <c r="L114" s="184">
        <f>SUM(L113:L113)</f>
        <v>66310</v>
      </c>
      <c r="M114" s="236">
        <f>SUM(M113:M113)</f>
        <v>27655</v>
      </c>
    </row>
    <row r="115" spans="1:13" s="96" customFormat="1" ht="13.5" thickBot="1" x14ac:dyDescent="0.25">
      <c r="A115" s="206"/>
      <c r="B115" s="97"/>
      <c r="C115" s="97"/>
      <c r="D115" s="218"/>
      <c r="E115" s="244"/>
      <c r="F115" s="209"/>
      <c r="G115" s="238"/>
      <c r="H115" s="244"/>
      <c r="I115" s="209"/>
      <c r="J115" s="238"/>
      <c r="K115" s="244"/>
      <c r="L115" s="209"/>
      <c r="M115" s="238"/>
    </row>
    <row r="116" spans="1:13" s="96" customFormat="1" ht="14.25" thickTop="1" thickBot="1" x14ac:dyDescent="0.25">
      <c r="A116" s="205" t="s">
        <v>197</v>
      </c>
      <c r="B116" s="187"/>
      <c r="C116" s="187"/>
      <c r="D116" s="219"/>
      <c r="E116" s="231">
        <f>E108+E111+E114</f>
        <v>140867</v>
      </c>
      <c r="F116" s="189">
        <f>F108+F111+F114</f>
        <v>80008</v>
      </c>
      <c r="G116" s="232">
        <f>G108+G111+G114</f>
        <v>60859</v>
      </c>
      <c r="H116" s="231">
        <f t="shared" ref="H116:J116" si="56">H108+H111+H114</f>
        <v>50</v>
      </c>
      <c r="I116" s="189">
        <f t="shared" si="56"/>
        <v>0</v>
      </c>
      <c r="J116" s="232">
        <f t="shared" si="56"/>
        <v>50</v>
      </c>
      <c r="K116" s="231">
        <f>+K108+K111+K114</f>
        <v>140917</v>
      </c>
      <c r="L116" s="189">
        <f>+L108+L111+L114</f>
        <v>80008</v>
      </c>
      <c r="M116" s="232">
        <f>+M108+M111+M114</f>
        <v>60909</v>
      </c>
    </row>
    <row r="117" spans="1:13" s="96" customFormat="1" ht="14.25" thickTop="1" thickBot="1" x14ac:dyDescent="0.25">
      <c r="A117" s="100"/>
      <c r="B117" s="99"/>
      <c r="C117" s="99"/>
      <c r="D117" s="225"/>
      <c r="E117" s="237"/>
      <c r="F117" s="209"/>
      <c r="G117" s="238"/>
      <c r="H117" s="237"/>
      <c r="I117" s="209"/>
      <c r="J117" s="238"/>
      <c r="K117" s="246"/>
      <c r="L117" s="247"/>
      <c r="M117" s="248"/>
    </row>
    <row r="118" spans="1:13" s="96" customFormat="1" ht="17.25" customHeight="1" thickTop="1" thickBot="1" x14ac:dyDescent="0.3">
      <c r="A118" s="258" t="s">
        <v>295</v>
      </c>
      <c r="B118" s="252"/>
      <c r="C118" s="252"/>
      <c r="D118" s="253"/>
      <c r="E118" s="254">
        <f>+E116+E105+E94+E85+E41+E18+E9</f>
        <v>1058822</v>
      </c>
      <c r="F118" s="255">
        <f>+F116+F105+F94+F85+F41+F18+F9</f>
        <v>840901</v>
      </c>
      <c r="G118" s="256">
        <f>+G9+G18+G41+G85+G94+G105+G116</f>
        <v>217921</v>
      </c>
      <c r="H118" s="254">
        <f>+H116+H105+H94+H85+H41</f>
        <v>471150</v>
      </c>
      <c r="I118" s="255">
        <f>I9+I18+I41+I85+I94+I105+I116</f>
        <v>471100</v>
      </c>
      <c r="J118" s="256">
        <f>J9+J18+J41+J85+J94+J105+J116</f>
        <v>50</v>
      </c>
      <c r="K118" s="249">
        <f>+K9+K18+K41+K85+K94+K105+K116</f>
        <v>1521144</v>
      </c>
      <c r="L118" s="250">
        <f>+L9+L18+L41+L85+L94+L105+L116</f>
        <v>1303438</v>
      </c>
      <c r="M118" s="251">
        <f>+M9+M18+M41+M85+M94+M105+M116</f>
        <v>217706</v>
      </c>
    </row>
    <row r="119" spans="1:13" s="96" customFormat="1" ht="13.5" thickTop="1" x14ac:dyDescent="0.2">
      <c r="A119" s="93"/>
      <c r="B119" s="93"/>
      <c r="C119" s="93"/>
      <c r="D119" s="93"/>
    </row>
  </sheetData>
  <mergeCells count="8">
    <mergeCell ref="B5:B6"/>
    <mergeCell ref="C5:C6"/>
    <mergeCell ref="D5:D6"/>
    <mergeCell ref="A1:J1"/>
    <mergeCell ref="A2:J2"/>
    <mergeCell ref="A5:A6"/>
    <mergeCell ref="H5:J5"/>
    <mergeCell ref="E5:G5"/>
  </mergeCells>
  <printOptions horizontalCentered="1"/>
  <pageMargins left="0.47244094488188981" right="0.51181102362204722" top="0.62992125984251968" bottom="0.59055118110236227" header="0.35433070866141736" footer="0.35433070866141736"/>
  <pageSetup paperSize="9" scale="78" fitToHeight="2" orientation="portrait" r:id="rId1"/>
  <headerFooter alignWithMargins="0">
    <oddHeader xml:space="preserve">&amp;R </oddHeader>
  </headerFooter>
  <rowBreaks count="1" manualBreakCount="1">
    <brk id="68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36"/>
  <sheetViews>
    <sheetView showZeros="0" zoomScaleNormal="100" zoomScaleSheetLayoutView="75" workbookViewId="0">
      <selection activeCell="C14" sqref="C14"/>
    </sheetView>
  </sheetViews>
  <sheetFormatPr defaultRowHeight="12.75" x14ac:dyDescent="0.2"/>
  <cols>
    <col min="1" max="1" width="6.5703125" style="259" customWidth="1"/>
    <col min="2" max="2" width="48.5703125" style="259" customWidth="1"/>
    <col min="3" max="3" width="12.28515625" style="259" customWidth="1"/>
    <col min="4" max="4" width="9.5703125" style="259" customWidth="1"/>
    <col min="5" max="5" width="10.140625" style="259" customWidth="1"/>
    <col min="6" max="6" width="11.28515625" style="259" customWidth="1"/>
    <col min="7" max="7" width="8.85546875" style="259" bestFit="1" customWidth="1"/>
    <col min="8" max="8" width="10.140625" style="259" customWidth="1"/>
    <col min="9" max="9" width="12.7109375" style="259" customWidth="1"/>
    <col min="10" max="10" width="9.85546875" style="259" bestFit="1" customWidth="1"/>
    <col min="11" max="11" width="10.28515625" style="259" customWidth="1"/>
    <col min="12" max="12" width="9" style="259" bestFit="1" customWidth="1"/>
    <col min="13" max="13" width="6.42578125" style="259" bestFit="1" customWidth="1"/>
    <col min="14" max="16384" width="9.140625" style="259"/>
  </cols>
  <sheetData>
    <row r="3" spans="1:13" ht="18.75" x14ac:dyDescent="0.3">
      <c r="A3" s="408" t="s">
        <v>449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260"/>
    </row>
    <row r="4" spans="1:13" x14ac:dyDescent="0.2">
      <c r="A4" s="261"/>
      <c r="B4" s="260"/>
      <c r="C4" s="260"/>
    </row>
    <row r="5" spans="1:13" ht="13.5" thickBot="1" x14ac:dyDescent="0.25"/>
    <row r="6" spans="1:13" x14ac:dyDescent="0.2">
      <c r="A6" s="427" t="s">
        <v>88</v>
      </c>
      <c r="B6" s="429" t="s">
        <v>89</v>
      </c>
      <c r="C6" s="430" t="s">
        <v>198</v>
      </c>
      <c r="D6" s="431"/>
      <c r="E6" s="432"/>
      <c r="F6" s="430" t="s">
        <v>199</v>
      </c>
      <c r="G6" s="431"/>
      <c r="H6" s="432"/>
      <c r="I6" s="430" t="s">
        <v>200</v>
      </c>
      <c r="J6" s="431"/>
      <c r="K6" s="432"/>
      <c r="L6" s="374" t="s">
        <v>201</v>
      </c>
    </row>
    <row r="7" spans="1:13" ht="26.25" thickBot="1" x14ac:dyDescent="0.25">
      <c r="A7" s="428"/>
      <c r="B7" s="416"/>
      <c r="C7" s="262" t="s">
        <v>80</v>
      </c>
      <c r="D7" s="263" t="s">
        <v>6</v>
      </c>
      <c r="E7" s="280" t="s">
        <v>7</v>
      </c>
      <c r="F7" s="262" t="s">
        <v>80</v>
      </c>
      <c r="G7" s="263" t="s">
        <v>6</v>
      </c>
      <c r="H7" s="280" t="s">
        <v>7</v>
      </c>
      <c r="I7" s="262" t="s">
        <v>80</v>
      </c>
      <c r="J7" s="263" t="s">
        <v>6</v>
      </c>
      <c r="K7" s="281" t="s">
        <v>7</v>
      </c>
      <c r="L7" s="374" t="s">
        <v>202</v>
      </c>
    </row>
    <row r="8" spans="1:13" x14ac:dyDescent="0.2">
      <c r="A8" s="264"/>
      <c r="B8" s="265"/>
      <c r="C8" s="266"/>
      <c r="D8" s="267"/>
      <c r="E8" s="267"/>
      <c r="F8" s="266"/>
      <c r="G8" s="267"/>
      <c r="H8" s="267"/>
      <c r="I8" s="266"/>
      <c r="J8" s="267"/>
      <c r="K8" s="268"/>
      <c r="L8" s="269"/>
    </row>
    <row r="9" spans="1:13" x14ac:dyDescent="0.2">
      <c r="A9" s="270" t="s">
        <v>93</v>
      </c>
      <c r="B9" s="135" t="s">
        <v>397</v>
      </c>
      <c r="C9" s="272">
        <f>+'B a K'!E13</f>
        <v>16185</v>
      </c>
      <c r="D9" s="273">
        <f>+'B a K'!F13</f>
        <v>15549</v>
      </c>
      <c r="E9" s="273">
        <f>+'B a K'!G13</f>
        <v>636</v>
      </c>
      <c r="F9" s="272">
        <f>+'B a K'!H13</f>
        <v>12310</v>
      </c>
      <c r="G9" s="273">
        <f>+'B a K'!I13</f>
        <v>12310</v>
      </c>
      <c r="H9" s="273">
        <f>+'B a K'!J13</f>
        <v>0</v>
      </c>
      <c r="I9" s="272">
        <f>+'B a K'!K13</f>
        <v>28495</v>
      </c>
      <c r="J9" s="273">
        <f>+'B a K'!L13</f>
        <v>27859</v>
      </c>
      <c r="K9" s="274">
        <f>+'B a K'!M13</f>
        <v>636</v>
      </c>
      <c r="L9" s="275">
        <f>I9*1000/$L$32</f>
        <v>71.938722699513505</v>
      </c>
      <c r="M9" s="276">
        <v>77</v>
      </c>
    </row>
    <row r="10" spans="1:13" x14ac:dyDescent="0.2">
      <c r="A10" s="270" t="s">
        <v>95</v>
      </c>
      <c r="B10" s="271" t="s">
        <v>96</v>
      </c>
      <c r="C10" s="272">
        <f>+'B a K'!E23</f>
        <v>101552</v>
      </c>
      <c r="D10" s="273">
        <f>+'B a K'!F23</f>
        <v>91267</v>
      </c>
      <c r="E10" s="273">
        <f>+'B a K'!G23</f>
        <v>10285</v>
      </c>
      <c r="F10" s="272">
        <f>+'B a K'!H23</f>
        <v>13300</v>
      </c>
      <c r="G10" s="273">
        <f>+'B a K'!I23</f>
        <v>12800</v>
      </c>
      <c r="H10" s="273">
        <f>+'B a K'!J23</f>
        <v>500</v>
      </c>
      <c r="I10" s="272">
        <f>+'B a K'!K23</f>
        <v>114852</v>
      </c>
      <c r="J10" s="273">
        <f>+'B a K'!L23</f>
        <v>104067</v>
      </c>
      <c r="K10" s="274">
        <f>+'B a K'!M23</f>
        <v>10785</v>
      </c>
      <c r="L10" s="275">
        <f t="shared" ref="L10:L13" si="0">I10*1000/$L$32</f>
        <v>289.95634951691613</v>
      </c>
      <c r="M10" s="276">
        <v>286</v>
      </c>
    </row>
    <row r="11" spans="1:13" x14ac:dyDescent="0.2">
      <c r="A11" s="270" t="s">
        <v>97</v>
      </c>
      <c r="B11" s="271" t="s">
        <v>98</v>
      </c>
      <c r="C11" s="272">
        <f>+'B a K'!E36</f>
        <v>4117467</v>
      </c>
      <c r="D11" s="273">
        <f>+'B a K'!F36</f>
        <v>3793584</v>
      </c>
      <c r="E11" s="273">
        <f>+'B a K'!G36</f>
        <v>323883</v>
      </c>
      <c r="F11" s="272">
        <f>+'B a K'!H36</f>
        <v>1725573</v>
      </c>
      <c r="G11" s="273">
        <f>+'B a K'!I36</f>
        <v>1668716</v>
      </c>
      <c r="H11" s="273">
        <f>+'B a K'!J36</f>
        <v>56857</v>
      </c>
      <c r="I11" s="272">
        <f>+'B a K'!K36</f>
        <v>5843040</v>
      </c>
      <c r="J11" s="273">
        <f>+'B a K'!L36</f>
        <v>5462300</v>
      </c>
      <c r="K11" s="274">
        <f>+'B a K'!M36</f>
        <v>380740</v>
      </c>
      <c r="L11" s="275">
        <f t="shared" si="0"/>
        <v>14751.389165894558</v>
      </c>
      <c r="M11" s="276">
        <v>14247</v>
      </c>
    </row>
    <row r="12" spans="1:13" x14ac:dyDescent="0.2">
      <c r="A12" s="270" t="s">
        <v>99</v>
      </c>
      <c r="B12" s="271" t="s">
        <v>100</v>
      </c>
      <c r="C12" s="272">
        <f>+'B a K'!E44</f>
        <v>15994</v>
      </c>
      <c r="D12" s="273">
        <f>+'B a K'!F44</f>
        <v>14492</v>
      </c>
      <c r="E12" s="273">
        <f>+'B a K'!G44</f>
        <v>1502</v>
      </c>
      <c r="F12" s="272">
        <f>+'B a K'!H44</f>
        <v>982781</v>
      </c>
      <c r="G12" s="273">
        <f>+'B a K'!I44</f>
        <v>977541</v>
      </c>
      <c r="H12" s="273">
        <f>+'B a K'!J44</f>
        <v>5240</v>
      </c>
      <c r="I12" s="272">
        <f>+'B a K'!K44</f>
        <v>998775</v>
      </c>
      <c r="J12" s="273">
        <f>+'B a K'!L44</f>
        <v>992033</v>
      </c>
      <c r="K12" s="274">
        <f>+'B a K'!M44</f>
        <v>6742</v>
      </c>
      <c r="L12" s="275">
        <f t="shared" si="0"/>
        <v>2521.5159769856677</v>
      </c>
      <c r="M12" s="276">
        <v>2572</v>
      </c>
    </row>
    <row r="13" spans="1:13" x14ac:dyDescent="0.2">
      <c r="A13" s="277">
        <v>24</v>
      </c>
      <c r="B13" s="271" t="s">
        <v>316</v>
      </c>
      <c r="C13" s="272">
        <f>'B a K'!E47</f>
        <v>15</v>
      </c>
      <c r="D13" s="273">
        <f>'B a K'!F47</f>
        <v>0</v>
      </c>
      <c r="E13" s="273">
        <f>'B a K'!G47</f>
        <v>15</v>
      </c>
      <c r="F13" s="272"/>
      <c r="G13" s="273"/>
      <c r="H13" s="273"/>
      <c r="I13" s="272">
        <f>'B a K'!K47</f>
        <v>15</v>
      </c>
      <c r="J13" s="273">
        <f>'B a K'!L47</f>
        <v>0</v>
      </c>
      <c r="K13" s="274">
        <f>'B a K'!M47</f>
        <v>15</v>
      </c>
      <c r="L13" s="275">
        <f t="shared" si="0"/>
        <v>3.7869129338224339E-2</v>
      </c>
      <c r="M13" s="276"/>
    </row>
    <row r="14" spans="1:13" x14ac:dyDescent="0.2">
      <c r="A14" s="270" t="s">
        <v>101</v>
      </c>
      <c r="B14" s="271" t="s">
        <v>102</v>
      </c>
      <c r="C14" s="272">
        <f>+'B a K'!E62+'B a K'!E68</f>
        <v>748530</v>
      </c>
      <c r="D14" s="273">
        <f>+'B a K'!F62+'B a K'!F68</f>
        <v>62229</v>
      </c>
      <c r="E14" s="273">
        <f>+'B a K'!G62+'B a K'!G68</f>
        <v>686301</v>
      </c>
      <c r="F14" s="272">
        <f>+'B a K'!H62+'B a K'!H68</f>
        <v>419182</v>
      </c>
      <c r="G14" s="273">
        <f>+'B a K'!I62+'B a K'!I68</f>
        <v>91605</v>
      </c>
      <c r="H14" s="273">
        <f>+'B a K'!J62+'B a K'!J68</f>
        <v>327577</v>
      </c>
      <c r="I14" s="272">
        <f>+'B a K'!K62+'B a K'!K68</f>
        <v>1167712</v>
      </c>
      <c r="J14" s="273">
        <f>+'B a K'!L62+'B a K'!L68</f>
        <v>153834</v>
      </c>
      <c r="K14" s="274">
        <f>+'B a K'!M62+'B a K'!M68</f>
        <v>1013878</v>
      </c>
      <c r="L14" s="275">
        <f t="shared" ref="L14:L29" si="1">I14*1000/$L$32</f>
        <v>2948.0157838531081</v>
      </c>
      <c r="M14" s="276">
        <v>2850</v>
      </c>
    </row>
    <row r="15" spans="1:13" x14ac:dyDescent="0.2">
      <c r="A15" s="270" t="s">
        <v>103</v>
      </c>
      <c r="B15" s="271" t="s">
        <v>104</v>
      </c>
      <c r="C15" s="272">
        <f>+'B a K'!E87</f>
        <v>1582218</v>
      </c>
      <c r="D15" s="273">
        <f>+'B a K'!F87</f>
        <v>1452261</v>
      </c>
      <c r="E15" s="273">
        <f>+'B a K'!G87</f>
        <v>129957</v>
      </c>
      <c r="F15" s="272">
        <f>+'B a K'!H87</f>
        <v>475251</v>
      </c>
      <c r="G15" s="273">
        <f>+'B a K'!I87</f>
        <v>472172</v>
      </c>
      <c r="H15" s="273">
        <f>+'B a K'!J87</f>
        <v>3079</v>
      </c>
      <c r="I15" s="272">
        <f>+'B a K'!K87</f>
        <v>2057469</v>
      </c>
      <c r="J15" s="273">
        <f>+'B a K'!L87</f>
        <v>1924433</v>
      </c>
      <c r="K15" s="274">
        <f>+'B a K'!M87</f>
        <v>133036</v>
      </c>
      <c r="L15" s="275">
        <f t="shared" si="1"/>
        <v>5194.3039780258068</v>
      </c>
      <c r="M15" s="276">
        <v>4783</v>
      </c>
    </row>
    <row r="16" spans="1:13" x14ac:dyDescent="0.2">
      <c r="A16" s="270" t="s">
        <v>105</v>
      </c>
      <c r="B16" s="135" t="s">
        <v>398</v>
      </c>
      <c r="C16" s="272">
        <f>+'B a K'!E93</f>
        <v>807421</v>
      </c>
      <c r="D16" s="273">
        <f>+'B a K'!F93</f>
        <v>739722</v>
      </c>
      <c r="E16" s="273">
        <f>+'B a K'!G93</f>
        <v>67699</v>
      </c>
      <c r="F16" s="272">
        <f>+'B a K'!H93</f>
        <v>987083</v>
      </c>
      <c r="G16" s="273">
        <f>+'B a K'!I93</f>
        <v>934082</v>
      </c>
      <c r="H16" s="273">
        <f>+'B a K'!J93</f>
        <v>53001</v>
      </c>
      <c r="I16" s="272">
        <f>+'B a K'!K93</f>
        <v>1794504</v>
      </c>
      <c r="J16" s="273">
        <f>+'B a K'!L93</f>
        <v>1673804</v>
      </c>
      <c r="K16" s="274">
        <f>+'B a K'!M93</f>
        <v>120700</v>
      </c>
      <c r="L16" s="275">
        <f t="shared" si="1"/>
        <v>4530.4202715973952</v>
      </c>
      <c r="M16" s="276">
        <v>3722</v>
      </c>
    </row>
    <row r="17" spans="1:13" x14ac:dyDescent="0.2">
      <c r="A17" s="270" t="s">
        <v>106</v>
      </c>
      <c r="B17" s="271" t="s">
        <v>107</v>
      </c>
      <c r="C17" s="272">
        <f>+'B a K'!E106</f>
        <v>230927</v>
      </c>
      <c r="D17" s="273">
        <f>+'B a K'!F106</f>
        <v>219923</v>
      </c>
      <c r="E17" s="273">
        <f>+'B a K'!G106</f>
        <v>11004</v>
      </c>
      <c r="F17" s="272">
        <f>+'B a K'!H106</f>
        <v>128500</v>
      </c>
      <c r="G17" s="273">
        <f>+'B a K'!I106</f>
        <v>114400</v>
      </c>
      <c r="H17" s="273">
        <f>+'B a K'!J106</f>
        <v>14100</v>
      </c>
      <c r="I17" s="272">
        <f>+'B a K'!K106</f>
        <v>359427</v>
      </c>
      <c r="J17" s="273">
        <f>+'B a K'!L106</f>
        <v>334323</v>
      </c>
      <c r="K17" s="274">
        <f>+'B a K'!M106</f>
        <v>25104</v>
      </c>
      <c r="L17" s="275">
        <f t="shared" si="1"/>
        <v>907.41250337666406</v>
      </c>
      <c r="M17" s="276">
        <v>962</v>
      </c>
    </row>
    <row r="18" spans="1:13" x14ac:dyDescent="0.2">
      <c r="A18" s="270" t="s">
        <v>108</v>
      </c>
      <c r="B18" s="271" t="s">
        <v>203</v>
      </c>
      <c r="C18" s="272">
        <f>+'B a K'!E119</f>
        <v>983325</v>
      </c>
      <c r="D18" s="273">
        <f>+'B a K'!F119</f>
        <v>860774</v>
      </c>
      <c r="E18" s="273">
        <f>+'B a K'!G119</f>
        <v>122551</v>
      </c>
      <c r="F18" s="272">
        <f>+'B a K'!H119</f>
        <v>1303564</v>
      </c>
      <c r="G18" s="273">
        <f>+'B a K'!I119</f>
        <v>510922</v>
      </c>
      <c r="H18" s="273">
        <f>+'B a K'!J119</f>
        <v>792642</v>
      </c>
      <c r="I18" s="272">
        <f>+'B a K'!K119</f>
        <v>2286889</v>
      </c>
      <c r="J18" s="273">
        <f>+'B a K'!L119</f>
        <v>1371696</v>
      </c>
      <c r="K18" s="274">
        <f>+'B a K'!M119</f>
        <v>915193</v>
      </c>
      <c r="L18" s="275">
        <f t="shared" si="1"/>
        <v>5773.4996882108353</v>
      </c>
      <c r="M18" s="276">
        <v>6169</v>
      </c>
    </row>
    <row r="19" spans="1:13" x14ac:dyDescent="0.2">
      <c r="A19" s="270" t="s">
        <v>110</v>
      </c>
      <c r="B19" s="271" t="s">
        <v>111</v>
      </c>
      <c r="C19" s="272">
        <f>+'B a K'!E135</f>
        <v>867831</v>
      </c>
      <c r="D19" s="273">
        <f>+'B a K'!F135</f>
        <v>534879</v>
      </c>
      <c r="E19" s="273">
        <f>+'B a K'!G135</f>
        <v>332952</v>
      </c>
      <c r="F19" s="272">
        <f>+'B a K'!H135</f>
        <v>355524</v>
      </c>
      <c r="G19" s="273">
        <f>+'B a K'!I135</f>
        <v>240893</v>
      </c>
      <c r="H19" s="273">
        <f>+'B a K'!J135</f>
        <v>114631</v>
      </c>
      <c r="I19" s="272">
        <f>+'B a K'!K135</f>
        <v>1223355</v>
      </c>
      <c r="J19" s="273">
        <f>+'B a K'!L135</f>
        <v>775772</v>
      </c>
      <c r="K19" s="274">
        <f>+'B a K'!M135</f>
        <v>447583</v>
      </c>
      <c r="L19" s="275">
        <f t="shared" si="1"/>
        <v>3088.4925814375624</v>
      </c>
      <c r="M19" s="276">
        <v>2854</v>
      </c>
    </row>
    <row r="20" spans="1:13" x14ac:dyDescent="0.2">
      <c r="A20" s="270" t="s">
        <v>204</v>
      </c>
      <c r="B20" s="271" t="s">
        <v>205</v>
      </c>
      <c r="C20" s="272">
        <f>+'B a K'!E137</f>
        <v>40800</v>
      </c>
      <c r="D20" s="273">
        <f>+'B a K'!F137</f>
        <v>40800</v>
      </c>
      <c r="E20" s="273">
        <f>+'B a K'!G137</f>
        <v>0</v>
      </c>
      <c r="F20" s="272">
        <f>+'B a K'!H137</f>
        <v>0</v>
      </c>
      <c r="G20" s="273">
        <f>+'B a K'!I137</f>
        <v>0</v>
      </c>
      <c r="H20" s="274">
        <f>+'B a K'!J137</f>
        <v>0</v>
      </c>
      <c r="I20" s="272">
        <f>+'B a K'!K137</f>
        <v>40800</v>
      </c>
      <c r="J20" s="273">
        <f>+'B a K'!L137</f>
        <v>40800</v>
      </c>
      <c r="K20" s="274">
        <f>+'B a K'!M137</f>
        <v>0</v>
      </c>
      <c r="L20" s="275">
        <f t="shared" si="1"/>
        <v>103.00403179997021</v>
      </c>
      <c r="M20" s="276">
        <v>111</v>
      </c>
    </row>
    <row r="21" spans="1:13" x14ac:dyDescent="0.2">
      <c r="A21" s="277">
        <v>39</v>
      </c>
      <c r="B21" s="271" t="s">
        <v>438</v>
      </c>
      <c r="C21" s="272">
        <f>+'B a K'!E141</f>
        <v>46722</v>
      </c>
      <c r="D21" s="273">
        <f>+'B a K'!F141</f>
        <v>45751</v>
      </c>
      <c r="E21" s="273">
        <f>+'B a K'!G141</f>
        <v>971</v>
      </c>
      <c r="F21" s="272">
        <f>+'B a K'!H141</f>
        <v>1500</v>
      </c>
      <c r="G21" s="273">
        <f>+'B a K'!I141</f>
        <v>1500</v>
      </c>
      <c r="H21" s="274">
        <f>+'B a K'!J141</f>
        <v>0</v>
      </c>
      <c r="I21" s="272">
        <f>+'B a K'!K141</f>
        <v>48222</v>
      </c>
      <c r="J21" s="273">
        <f>+'B a K'!L141</f>
        <v>47251</v>
      </c>
      <c r="K21" s="274">
        <f>+'B a K'!M141</f>
        <v>971</v>
      </c>
      <c r="L21" s="275">
        <f t="shared" si="1"/>
        <v>121.74167699652361</v>
      </c>
      <c r="M21" s="276">
        <v>144</v>
      </c>
    </row>
    <row r="22" spans="1:13" x14ac:dyDescent="0.2">
      <c r="A22" s="270" t="s">
        <v>112</v>
      </c>
      <c r="B22" s="135" t="s">
        <v>399</v>
      </c>
      <c r="C22" s="272">
        <f>+'B a K'!E160</f>
        <v>770498</v>
      </c>
      <c r="D22" s="273">
        <f>+'B a K'!F160</f>
        <v>745633</v>
      </c>
      <c r="E22" s="273">
        <f>+'B a K'!G160</f>
        <v>24865</v>
      </c>
      <c r="F22" s="272">
        <f>+'B a K'!H160</f>
        <v>185258</v>
      </c>
      <c r="G22" s="273">
        <f>+'B a K'!I160</f>
        <v>178358</v>
      </c>
      <c r="H22" s="273">
        <f>+'B a K'!J160</f>
        <v>6900</v>
      </c>
      <c r="I22" s="272">
        <f>+'B a K'!K160</f>
        <v>955756</v>
      </c>
      <c r="J22" s="273">
        <f>+'B a K'!L160</f>
        <v>923991</v>
      </c>
      <c r="K22" s="274">
        <f>+'B a K'!M160</f>
        <v>31765</v>
      </c>
      <c r="L22" s="275">
        <f t="shared" si="1"/>
        <v>2412.9098386522628</v>
      </c>
      <c r="M22" s="276">
        <v>2438</v>
      </c>
    </row>
    <row r="23" spans="1:13" x14ac:dyDescent="0.2">
      <c r="A23" s="270" t="s">
        <v>207</v>
      </c>
      <c r="B23" s="271" t="s">
        <v>440</v>
      </c>
      <c r="C23" s="272">
        <f>+'B a K'!E169</f>
        <v>8813</v>
      </c>
      <c r="D23" s="273">
        <f>+'B a K'!F169</f>
        <v>5984</v>
      </c>
      <c r="E23" s="273">
        <f>+'B a K'!G169</f>
        <v>2829</v>
      </c>
      <c r="F23" s="272">
        <f>+'B a K'!H169</f>
        <v>0</v>
      </c>
      <c r="G23" s="273">
        <f>+'B a K'!I169</f>
        <v>0</v>
      </c>
      <c r="H23" s="273">
        <f>+'B a K'!J169</f>
        <v>0</v>
      </c>
      <c r="I23" s="272">
        <f>+'B a K'!K169</f>
        <v>8813</v>
      </c>
      <c r="J23" s="273">
        <f>+'B a K'!L169</f>
        <v>5984</v>
      </c>
      <c r="K23" s="274">
        <f>+'B a K'!M169</f>
        <v>2829</v>
      </c>
      <c r="L23" s="275">
        <f t="shared" si="1"/>
        <v>22.249375790518076</v>
      </c>
      <c r="M23" s="276">
        <v>21</v>
      </c>
    </row>
    <row r="24" spans="1:13" x14ac:dyDescent="0.2">
      <c r="A24" s="270" t="s">
        <v>113</v>
      </c>
      <c r="B24" s="135" t="s">
        <v>114</v>
      </c>
      <c r="C24" s="272">
        <f>+'B a K'!E174</f>
        <v>549236</v>
      </c>
      <c r="D24" s="273">
        <f>+'B a K'!F174</f>
        <v>548801</v>
      </c>
      <c r="E24" s="273">
        <f>+'B a K'!G174</f>
        <v>435</v>
      </c>
      <c r="F24" s="272">
        <f>+'B a K'!H174</f>
        <v>16410</v>
      </c>
      <c r="G24" s="273">
        <f>+'B a K'!I174</f>
        <v>11410</v>
      </c>
      <c r="H24" s="273">
        <f>+'B a K'!J174</f>
        <v>5000</v>
      </c>
      <c r="I24" s="272">
        <f>+'B a K'!K174</f>
        <v>565646</v>
      </c>
      <c r="J24" s="273">
        <f>+'B a K'!L174</f>
        <v>560211</v>
      </c>
      <c r="K24" s="274">
        <f>+'B a K'!M174</f>
        <v>5435</v>
      </c>
      <c r="L24" s="275">
        <f t="shared" si="1"/>
        <v>1428.0347689099497</v>
      </c>
      <c r="M24" s="276">
        <v>1470</v>
      </c>
    </row>
    <row r="25" spans="1:13" x14ac:dyDescent="0.2">
      <c r="A25" s="270" t="s">
        <v>208</v>
      </c>
      <c r="B25" s="135" t="s">
        <v>115</v>
      </c>
      <c r="C25" s="272">
        <f>+'B a K'!E179</f>
        <v>20836</v>
      </c>
      <c r="D25" s="273">
        <f>+'B a K'!F179</f>
        <v>5000</v>
      </c>
      <c r="E25" s="273">
        <f>+'B a K'!G179</f>
        <v>15836</v>
      </c>
      <c r="F25" s="272">
        <f>+'B a K'!H179</f>
        <v>64653</v>
      </c>
      <c r="G25" s="273">
        <f>+'B a K'!I179</f>
        <v>62345</v>
      </c>
      <c r="H25" s="273">
        <f>+'B a K'!J179</f>
        <v>2308</v>
      </c>
      <c r="I25" s="272">
        <f>+'B a K'!K179</f>
        <v>85489</v>
      </c>
      <c r="J25" s="273">
        <f>+'B a K'!L179</f>
        <v>67345</v>
      </c>
      <c r="K25" s="274">
        <f>+'B a K'!M179</f>
        <v>18144</v>
      </c>
      <c r="L25" s="275">
        <f t="shared" si="1"/>
        <v>215.82626653303072</v>
      </c>
      <c r="M25" s="276">
        <v>185</v>
      </c>
    </row>
    <row r="26" spans="1:13" x14ac:dyDescent="0.2">
      <c r="A26" s="270" t="s">
        <v>116</v>
      </c>
      <c r="B26" s="135" t="s">
        <v>400</v>
      </c>
      <c r="C26" s="272">
        <f>+'B a K'!E187</f>
        <v>2646943</v>
      </c>
      <c r="D26" s="273">
        <f>+'B a K'!F187</f>
        <v>1485226</v>
      </c>
      <c r="E26" s="273">
        <f>+'B a K'!G187</f>
        <v>1161717</v>
      </c>
      <c r="F26" s="272">
        <f>+'B a K'!H187</f>
        <v>177532</v>
      </c>
      <c r="G26" s="273">
        <f>+'B a K'!I187</f>
        <v>110157</v>
      </c>
      <c r="H26" s="273">
        <f>+'B a K'!J187</f>
        <v>67375</v>
      </c>
      <c r="I26" s="272">
        <f>+'B a K'!K187</f>
        <v>2824475</v>
      </c>
      <c r="J26" s="273">
        <f>+'B a K'!L187</f>
        <v>1595383</v>
      </c>
      <c r="K26" s="274">
        <f>+'B a K'!M187</f>
        <v>1229092</v>
      </c>
      <c r="L26" s="275">
        <f t="shared" si="1"/>
        <v>7130.6939391720798</v>
      </c>
      <c r="M26" s="276">
        <v>6993</v>
      </c>
    </row>
    <row r="27" spans="1:13" x14ac:dyDescent="0.2">
      <c r="A27" s="270" t="s">
        <v>118</v>
      </c>
      <c r="B27" s="135" t="s">
        <v>119</v>
      </c>
      <c r="C27" s="272">
        <f>+'B a K'!E191</f>
        <v>17956</v>
      </c>
      <c r="D27" s="273">
        <f>+'B a K'!F191</f>
        <v>17926</v>
      </c>
      <c r="E27" s="273">
        <f>+'B a K'!G191</f>
        <v>30</v>
      </c>
      <c r="F27" s="272">
        <f>+'B a K'!H191</f>
        <v>3039</v>
      </c>
      <c r="G27" s="273">
        <f>+'B a K'!I191</f>
        <v>3039</v>
      </c>
      <c r="H27" s="273">
        <f>+'B a K'!J191</f>
        <v>0</v>
      </c>
      <c r="I27" s="272">
        <f>+'B a K'!K191</f>
        <v>20995</v>
      </c>
      <c r="J27" s="273">
        <f>+'B a K'!L191</f>
        <v>20965</v>
      </c>
      <c r="K27" s="274">
        <f>+'B a K'!M191</f>
        <v>30</v>
      </c>
      <c r="L27" s="275">
        <f t="shared" si="1"/>
        <v>53.004158030401335</v>
      </c>
      <c r="M27" s="276">
        <v>54</v>
      </c>
    </row>
    <row r="28" spans="1:13" x14ac:dyDescent="0.2">
      <c r="A28" s="270" t="s">
        <v>120</v>
      </c>
      <c r="B28" s="271" t="s">
        <v>209</v>
      </c>
      <c r="C28" s="272">
        <f>+'B a K'!E197</f>
        <v>684940</v>
      </c>
      <c r="D28" s="273">
        <f>+'B a K'!F197</f>
        <v>2978033</v>
      </c>
      <c r="E28" s="273">
        <f>+'B a K'!G197</f>
        <v>96530</v>
      </c>
      <c r="F28" s="272">
        <f>+'B a K'!H197</f>
        <v>0</v>
      </c>
      <c r="G28" s="273">
        <f>+'B a K'!I197</f>
        <v>252133</v>
      </c>
      <c r="H28" s="273">
        <f>+'B a K'!J197</f>
        <v>0</v>
      </c>
      <c r="I28" s="272">
        <f>+'B a K'!K197</f>
        <v>684940</v>
      </c>
      <c r="J28" s="273">
        <f>+'B a K'!L197</f>
        <v>3230166</v>
      </c>
      <c r="K28" s="274">
        <f>+'B a K'!M197</f>
        <v>96530</v>
      </c>
      <c r="L28" s="275">
        <f t="shared" si="1"/>
        <v>1729.2054299282254</v>
      </c>
      <c r="M28" s="276">
        <v>1753</v>
      </c>
    </row>
    <row r="29" spans="1:13" ht="13.5" thickBot="1" x14ac:dyDescent="0.25">
      <c r="A29" s="282" t="s">
        <v>210</v>
      </c>
      <c r="B29" s="283" t="s">
        <v>211</v>
      </c>
      <c r="C29" s="284">
        <f>+'B a K'!E200</f>
        <v>295672</v>
      </c>
      <c r="D29" s="285">
        <f>+'B a K'!F200</f>
        <v>135633</v>
      </c>
      <c r="E29" s="285">
        <f>+'B a K'!G200</f>
        <v>160039</v>
      </c>
      <c r="F29" s="284">
        <f>+'B a K'!H200</f>
        <v>356</v>
      </c>
      <c r="G29" s="285">
        <f>+'B a K'!I200</f>
        <v>0</v>
      </c>
      <c r="H29" s="285">
        <f>+'B a K'!J200</f>
        <v>356</v>
      </c>
      <c r="I29" s="284">
        <f>+'B a K'!K200</f>
        <v>296028</v>
      </c>
      <c r="J29" s="285">
        <f>+'B a K'!L200</f>
        <v>135633</v>
      </c>
      <c r="K29" s="286">
        <f>+'B a K'!M200</f>
        <v>160395</v>
      </c>
      <c r="L29" s="275">
        <f t="shared" si="1"/>
        <v>747.35484131572503</v>
      </c>
      <c r="M29" s="276">
        <v>525</v>
      </c>
    </row>
    <row r="30" spans="1:13" ht="13.5" thickBot="1" x14ac:dyDescent="0.25">
      <c r="A30" s="287"/>
      <c r="B30" s="288" t="s">
        <v>87</v>
      </c>
      <c r="C30" s="289">
        <f>SUM(C9:C29)</f>
        <v>14553881</v>
      </c>
      <c r="D30" s="290">
        <f>SUM(D9:D29)</f>
        <v>13793467</v>
      </c>
      <c r="E30" s="290">
        <f>SUM(E9:E29)</f>
        <v>3150037</v>
      </c>
      <c r="F30" s="289">
        <f>SUM(F9:F29)</f>
        <v>6851816</v>
      </c>
      <c r="G30" s="290">
        <f>SUM(G8:G29)</f>
        <v>5654383</v>
      </c>
      <c r="H30" s="290">
        <f t="shared" ref="H30:L30" si="2">SUM(H9:H29)</f>
        <v>1449566</v>
      </c>
      <c r="I30" s="289">
        <f>SUM(I9:I29)</f>
        <v>21405697</v>
      </c>
      <c r="J30" s="290">
        <f t="shared" si="2"/>
        <v>19447850</v>
      </c>
      <c r="K30" s="291">
        <f t="shared" si="2"/>
        <v>4599603</v>
      </c>
      <c r="L30" s="278">
        <f t="shared" si="2"/>
        <v>54041.007217856051</v>
      </c>
      <c r="M30" s="279">
        <f>SUM(M9:M29)</f>
        <v>52216</v>
      </c>
    </row>
    <row r="31" spans="1:13" x14ac:dyDescent="0.2">
      <c r="M31" s="276"/>
    </row>
    <row r="32" spans="1:13" x14ac:dyDescent="0.2">
      <c r="A32" s="259" t="s">
        <v>122</v>
      </c>
      <c r="I32" s="276"/>
      <c r="L32" s="396">
        <v>396101</v>
      </c>
      <c r="M32" s="276"/>
    </row>
    <row r="33" spans="13:13" x14ac:dyDescent="0.2">
      <c r="M33" s="275"/>
    </row>
    <row r="36" spans="13:13" x14ac:dyDescent="0.2">
      <c r="M36" s="275"/>
    </row>
  </sheetData>
  <mergeCells count="6">
    <mergeCell ref="A3:K3"/>
    <mergeCell ref="A6:A7"/>
    <mergeCell ref="B6:B7"/>
    <mergeCell ref="C6:E6"/>
    <mergeCell ref="F6:H6"/>
    <mergeCell ref="I6:K6"/>
  </mergeCells>
  <printOptions horizontalCentered="1"/>
  <pageMargins left="0.56000000000000005" right="0.54" top="0.98425196850393704" bottom="0.98425196850393704" header="0.59055118110236227" footer="0.51181102362204722"/>
  <pageSetup paperSize="9" orientation="landscape" r:id="rId1"/>
  <headerFooter alignWithMargins="0">
    <oddHeader xml:space="preserve">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L1:AB68"/>
  <sheetViews>
    <sheetView zoomScaleNormal="100" zoomScaleSheetLayoutView="100" workbookViewId="0">
      <selection activeCell="C14" sqref="C14"/>
    </sheetView>
  </sheetViews>
  <sheetFormatPr defaultRowHeight="12.75" x14ac:dyDescent="0.2"/>
  <cols>
    <col min="11" max="11" width="14.85546875" customWidth="1"/>
    <col min="13" max="13" width="47.28515625" bestFit="1" customWidth="1"/>
    <col min="14" max="14" width="15.85546875" customWidth="1"/>
    <col min="15" max="15" width="13.42578125" bestFit="1" customWidth="1"/>
    <col min="16" max="16" width="12.28515625" bestFit="1" customWidth="1"/>
    <col min="17" max="17" width="17.28515625" bestFit="1" customWidth="1"/>
    <col min="22" max="22" width="47.28515625" bestFit="1" customWidth="1"/>
    <col min="23" max="24" width="14.42578125" bestFit="1" customWidth="1"/>
    <col min="25" max="25" width="13.42578125" bestFit="1" customWidth="1"/>
  </cols>
  <sheetData>
    <row r="1" spans="13:14" x14ac:dyDescent="0.2">
      <c r="M1" s="366" t="s">
        <v>89</v>
      </c>
      <c r="N1" s="366" t="s">
        <v>301</v>
      </c>
    </row>
    <row r="2" spans="13:14" x14ac:dyDescent="0.2">
      <c r="M2" t="s">
        <v>107</v>
      </c>
      <c r="N2" s="367">
        <f t="shared" ref="N2:N14" si="0">INDEX($N$20:$N$43,MATCH(M2,$M$20:$M$43,0),1)</f>
        <v>359.42700000000002</v>
      </c>
    </row>
    <row r="3" spans="13:14" x14ac:dyDescent="0.2">
      <c r="M3" t="s">
        <v>114</v>
      </c>
      <c r="N3" s="367">
        <f t="shared" si="0"/>
        <v>565.64599999999996</v>
      </c>
    </row>
    <row r="4" spans="13:14" x14ac:dyDescent="0.2">
      <c r="M4" t="s">
        <v>437</v>
      </c>
      <c r="N4" s="367">
        <f t="shared" si="0"/>
        <v>643.70899999999983</v>
      </c>
    </row>
    <row r="5" spans="13:14" x14ac:dyDescent="0.2">
      <c r="M5" t="s">
        <v>209</v>
      </c>
      <c r="N5" s="367">
        <f t="shared" si="0"/>
        <v>684.94</v>
      </c>
    </row>
    <row r="6" spans="13:14" x14ac:dyDescent="0.2">
      <c r="M6" t="s">
        <v>430</v>
      </c>
      <c r="N6" s="367">
        <f t="shared" si="0"/>
        <v>955.75599999999997</v>
      </c>
    </row>
    <row r="7" spans="13:14" x14ac:dyDescent="0.2">
      <c r="M7" t="s">
        <v>100</v>
      </c>
      <c r="N7" s="367">
        <f t="shared" si="0"/>
        <v>998.77499999999998</v>
      </c>
    </row>
    <row r="8" spans="13:14" x14ac:dyDescent="0.2">
      <c r="M8" t="s">
        <v>102</v>
      </c>
      <c r="N8" s="367">
        <f t="shared" si="0"/>
        <v>1167.712</v>
      </c>
    </row>
    <row r="9" spans="13:14" x14ac:dyDescent="0.2">
      <c r="M9" t="s">
        <v>111</v>
      </c>
      <c r="N9" s="367">
        <f t="shared" si="0"/>
        <v>1223.355</v>
      </c>
    </row>
    <row r="10" spans="13:14" x14ac:dyDescent="0.2">
      <c r="M10" t="s">
        <v>398</v>
      </c>
      <c r="N10" s="367">
        <f t="shared" si="0"/>
        <v>1794.5039999999999</v>
      </c>
    </row>
    <row r="11" spans="13:14" x14ac:dyDescent="0.2">
      <c r="M11" t="s">
        <v>104</v>
      </c>
      <c r="N11" s="367">
        <f t="shared" si="0"/>
        <v>2057.4690000000001</v>
      </c>
    </row>
    <row r="12" spans="13:14" x14ac:dyDescent="0.2">
      <c r="M12" t="s">
        <v>327</v>
      </c>
      <c r="N12" s="367">
        <f t="shared" si="0"/>
        <v>2286.8890000000001</v>
      </c>
    </row>
    <row r="13" spans="13:14" x14ac:dyDescent="0.2">
      <c r="M13" t="s">
        <v>117</v>
      </c>
      <c r="N13" s="367">
        <f t="shared" si="0"/>
        <v>2824.4749999999999</v>
      </c>
    </row>
    <row r="14" spans="13:14" x14ac:dyDescent="0.2">
      <c r="M14" t="s">
        <v>98</v>
      </c>
      <c r="N14" s="367">
        <f t="shared" si="0"/>
        <v>5843.04</v>
      </c>
    </row>
    <row r="15" spans="13:14" x14ac:dyDescent="0.2">
      <c r="M15" s="365" t="s">
        <v>87</v>
      </c>
      <c r="N15" s="368">
        <f>SUM(N2:N14)</f>
        <v>21405.697</v>
      </c>
    </row>
    <row r="16" spans="13:14" x14ac:dyDescent="0.2">
      <c r="M16" s="365"/>
      <c r="N16" s="368"/>
    </row>
    <row r="17" spans="12:28" x14ac:dyDescent="0.2">
      <c r="N17" s="367"/>
      <c r="Q17" s="369" t="s">
        <v>305</v>
      </c>
      <c r="R17" s="369"/>
      <c r="S17" s="369"/>
    </row>
    <row r="18" spans="12:28" x14ac:dyDescent="0.2">
      <c r="N18" s="367"/>
      <c r="Q18" s="388">
        <f>Výdaje!L32</f>
        <v>396101</v>
      </c>
      <c r="R18" s="369"/>
      <c r="S18" s="369"/>
    </row>
    <row r="19" spans="12:28" x14ac:dyDescent="0.2">
      <c r="M19" s="366" t="s">
        <v>89</v>
      </c>
      <c r="N19" s="366" t="s">
        <v>302</v>
      </c>
      <c r="O19" s="366" t="s">
        <v>303</v>
      </c>
      <c r="P19" s="366" t="s">
        <v>304</v>
      </c>
      <c r="Q19" s="372" t="s">
        <v>306</v>
      </c>
      <c r="R19" s="372" t="s">
        <v>307</v>
      </c>
      <c r="S19" s="372" t="s">
        <v>308</v>
      </c>
      <c r="W19" t="s">
        <v>302</v>
      </c>
      <c r="X19" t="s">
        <v>303</v>
      </c>
      <c r="Y19" t="s">
        <v>304</v>
      </c>
    </row>
    <row r="20" spans="12:28" x14ac:dyDescent="0.2">
      <c r="L20" s="380">
        <v>22</v>
      </c>
      <c r="M20" t="s">
        <v>98</v>
      </c>
      <c r="N20" s="367">
        <f>W20/1000</f>
        <v>5843.04</v>
      </c>
      <c r="O20" s="367">
        <f t="shared" ref="O20:P20" si="1">X20/1000</f>
        <v>5462.3</v>
      </c>
      <c r="P20" s="367">
        <f t="shared" si="1"/>
        <v>380.74</v>
      </c>
      <c r="Q20" s="370">
        <f t="shared" ref="Q20:Q33" si="2">N20*1000000/$Q$18</f>
        <v>14751.389165894558</v>
      </c>
      <c r="R20" s="370">
        <f>2750000000/Q18</f>
        <v>6942.673712007796</v>
      </c>
      <c r="S20" s="370">
        <f>Q20-R20</f>
        <v>7808.7154538867617</v>
      </c>
      <c r="U20" t="s">
        <v>97</v>
      </c>
      <c r="V20" t="s">
        <v>98</v>
      </c>
      <c r="W20" s="375">
        <f>X20+Y20</f>
        <v>5843040</v>
      </c>
      <c r="X20" s="375">
        <f>Výdaje!J11</f>
        <v>5462300</v>
      </c>
      <c r="Y20" s="375">
        <f>Výdaje!K11</f>
        <v>380740</v>
      </c>
      <c r="Z20" s="367">
        <f>W20/1000</f>
        <v>5843.04</v>
      </c>
      <c r="AA20" s="367">
        <f t="shared" ref="AA20:AB36" si="3">X20/1000</f>
        <v>5462.3</v>
      </c>
      <c r="AB20" s="367">
        <f t="shared" si="3"/>
        <v>380.74</v>
      </c>
    </row>
    <row r="21" spans="12:28" x14ac:dyDescent="0.2">
      <c r="L21" s="380">
        <v>61</v>
      </c>
      <c r="M21" t="s">
        <v>117</v>
      </c>
      <c r="N21" s="367">
        <f>W22/1000</f>
        <v>2824.4749999999999</v>
      </c>
      <c r="O21" s="367">
        <f>X22/1000</f>
        <v>1595.383</v>
      </c>
      <c r="P21" s="367">
        <f>Y22/1000</f>
        <v>1229.0920000000001</v>
      </c>
      <c r="Q21" s="370">
        <f t="shared" si="2"/>
        <v>7130.6939391720798</v>
      </c>
      <c r="R21" s="369"/>
      <c r="S21" s="369"/>
      <c r="U21" t="s">
        <v>108</v>
      </c>
      <c r="V21" t="s">
        <v>203</v>
      </c>
      <c r="W21" s="375">
        <f>X21+Y21</f>
        <v>2286889</v>
      </c>
      <c r="X21" s="375">
        <f>Výdaje!J18</f>
        <v>1371696</v>
      </c>
      <c r="Y21" s="375">
        <f>Výdaje!K18</f>
        <v>915193</v>
      </c>
      <c r="Z21" s="367">
        <f>W21/1000</f>
        <v>2286.8890000000001</v>
      </c>
      <c r="AA21" s="367">
        <f>X21/1000</f>
        <v>1371.6959999999999</v>
      </c>
      <c r="AB21" s="367">
        <f>Y21/1000</f>
        <v>915.19299999999998</v>
      </c>
    </row>
    <row r="22" spans="12:28" x14ac:dyDescent="0.2">
      <c r="L22" s="380">
        <v>36</v>
      </c>
      <c r="M22" t="s">
        <v>327</v>
      </c>
      <c r="N22" s="367">
        <f>W21/1000</f>
        <v>2286.8890000000001</v>
      </c>
      <c r="O22" s="367">
        <f>X21/1000</f>
        <v>1371.6959999999999</v>
      </c>
      <c r="P22" s="367">
        <f>Y21/1000</f>
        <v>915.19299999999998</v>
      </c>
      <c r="Q22" s="370">
        <f t="shared" si="2"/>
        <v>5773.4996882108353</v>
      </c>
      <c r="R22" s="369"/>
      <c r="S22" s="369"/>
      <c r="U22" t="s">
        <v>116</v>
      </c>
      <c r="V22" t="s">
        <v>117</v>
      </c>
      <c r="W22" s="375">
        <f>X22+Y22</f>
        <v>2824475</v>
      </c>
      <c r="X22" s="375">
        <f>Výdaje!J26</f>
        <v>1595383</v>
      </c>
      <c r="Y22" s="375">
        <f>Výdaje!K26</f>
        <v>1229092</v>
      </c>
      <c r="Z22" s="367">
        <f>W22/1000</f>
        <v>2824.4749999999999</v>
      </c>
      <c r="AA22" s="367">
        <f>X22/1000</f>
        <v>1595.383</v>
      </c>
      <c r="AB22" s="367">
        <f>Y22/1000</f>
        <v>1229.0920000000001</v>
      </c>
    </row>
    <row r="23" spans="12:28" x14ac:dyDescent="0.2">
      <c r="L23" s="380">
        <v>33</v>
      </c>
      <c r="M23" t="s">
        <v>104</v>
      </c>
      <c r="N23" s="367">
        <f>W23/1000</f>
        <v>2057.4690000000001</v>
      </c>
      <c r="O23" s="367">
        <f>X23/1000</f>
        <v>1924.433</v>
      </c>
      <c r="P23" s="367">
        <f>Y23/1000</f>
        <v>133.036</v>
      </c>
      <c r="Q23" s="370">
        <f t="shared" si="2"/>
        <v>5194.3039780258068</v>
      </c>
      <c r="R23" s="369"/>
      <c r="S23" s="369"/>
      <c r="U23" t="s">
        <v>103</v>
      </c>
      <c r="V23" t="s">
        <v>104</v>
      </c>
      <c r="W23" s="375">
        <f t="shared" ref="W23:W30" si="4">X23+Y23</f>
        <v>2057469</v>
      </c>
      <c r="X23" s="375">
        <f>Výdaje!J15</f>
        <v>1924433</v>
      </c>
      <c r="Y23" s="375">
        <f>Výdaje!K15</f>
        <v>133036</v>
      </c>
      <c r="Z23" s="367">
        <f t="shared" ref="Z23:Z30" si="5">W23/1000</f>
        <v>2057.4690000000001</v>
      </c>
      <c r="AA23" s="367">
        <f t="shared" si="3"/>
        <v>1924.433</v>
      </c>
      <c r="AB23" s="367">
        <f t="shared" si="3"/>
        <v>133.036</v>
      </c>
    </row>
    <row r="24" spans="12:28" x14ac:dyDescent="0.2">
      <c r="L24" s="380">
        <v>34</v>
      </c>
      <c r="M24" t="s">
        <v>398</v>
      </c>
      <c r="N24" s="367">
        <f>W24/1000</f>
        <v>1794.5039999999999</v>
      </c>
      <c r="O24" s="367">
        <f t="shared" ref="O24:P25" si="6">X24/1000</f>
        <v>1673.8040000000001</v>
      </c>
      <c r="P24" s="367">
        <f t="shared" si="6"/>
        <v>120.7</v>
      </c>
      <c r="Q24" s="370">
        <f t="shared" si="2"/>
        <v>4530.4202715973952</v>
      </c>
      <c r="R24" s="369"/>
      <c r="S24" s="369"/>
      <c r="U24" t="s">
        <v>105</v>
      </c>
      <c r="V24" t="s">
        <v>398</v>
      </c>
      <c r="W24" s="375">
        <f>X24+Y24</f>
        <v>1794504</v>
      </c>
      <c r="X24" s="375">
        <f>Výdaje!J16</f>
        <v>1673804</v>
      </c>
      <c r="Y24" s="375">
        <f>Výdaje!K16</f>
        <v>120700</v>
      </c>
      <c r="Z24" s="367">
        <f t="shared" ref="Z24:AB25" si="7">W24/1000</f>
        <v>1794.5039999999999</v>
      </c>
      <c r="AA24" s="367">
        <f t="shared" si="7"/>
        <v>1673.8040000000001</v>
      </c>
      <c r="AB24" s="367">
        <f t="shared" si="7"/>
        <v>120.7</v>
      </c>
    </row>
    <row r="25" spans="12:28" x14ac:dyDescent="0.2">
      <c r="L25" s="380">
        <v>37</v>
      </c>
      <c r="M25" t="s">
        <v>111</v>
      </c>
      <c r="N25" s="367">
        <f>W25/1000</f>
        <v>1223.355</v>
      </c>
      <c r="O25" s="367">
        <f t="shared" si="6"/>
        <v>775.77200000000005</v>
      </c>
      <c r="P25" s="367">
        <f t="shared" si="6"/>
        <v>447.58300000000003</v>
      </c>
      <c r="Q25" s="370">
        <f t="shared" si="2"/>
        <v>3088.4925814375624</v>
      </c>
      <c r="R25" s="369"/>
      <c r="S25" s="369"/>
      <c r="U25" t="s">
        <v>110</v>
      </c>
      <c r="V25" t="s">
        <v>111</v>
      </c>
      <c r="W25" s="375">
        <f>X25+Y25</f>
        <v>1223355</v>
      </c>
      <c r="X25" s="375">
        <f>Výdaje!J19</f>
        <v>775772</v>
      </c>
      <c r="Y25" s="375">
        <f>Výdaje!K19</f>
        <v>447583</v>
      </c>
      <c r="Z25" s="367">
        <f t="shared" si="7"/>
        <v>1223.355</v>
      </c>
      <c r="AA25" s="367">
        <f t="shared" si="7"/>
        <v>775.77200000000005</v>
      </c>
      <c r="AB25" s="367">
        <f t="shared" si="7"/>
        <v>447.58300000000003</v>
      </c>
    </row>
    <row r="26" spans="12:28" x14ac:dyDescent="0.2">
      <c r="L26" s="380" t="s">
        <v>101</v>
      </c>
      <c r="M26" t="s">
        <v>102</v>
      </c>
      <c r="N26" s="367">
        <f>W27/1000</f>
        <v>1167.712</v>
      </c>
      <c r="O26" s="367">
        <f>X27/1000</f>
        <v>153.834</v>
      </c>
      <c r="P26" s="367">
        <f>Y27/1000</f>
        <v>1013.878</v>
      </c>
      <c r="Q26" s="370">
        <f t="shared" si="2"/>
        <v>2948.0157838531081</v>
      </c>
      <c r="R26" s="369"/>
      <c r="S26" s="369"/>
      <c r="U26" t="s">
        <v>99</v>
      </c>
      <c r="V26" t="s">
        <v>100</v>
      </c>
      <c r="W26" s="375">
        <f>X26+Y26</f>
        <v>998775</v>
      </c>
      <c r="X26" s="375">
        <f>Výdaje!J12</f>
        <v>992033</v>
      </c>
      <c r="Y26" s="375">
        <f>Výdaje!K12</f>
        <v>6742</v>
      </c>
      <c r="Z26" s="367">
        <f t="shared" ref="Z26:AB27" si="8">W26/1000</f>
        <v>998.77499999999998</v>
      </c>
      <c r="AA26" s="367">
        <f t="shared" si="8"/>
        <v>992.03300000000002</v>
      </c>
      <c r="AB26" s="367">
        <f t="shared" si="8"/>
        <v>6.742</v>
      </c>
    </row>
    <row r="27" spans="12:28" x14ac:dyDescent="0.2">
      <c r="L27" s="380">
        <v>23</v>
      </c>
      <c r="M27" t="s">
        <v>100</v>
      </c>
      <c r="N27" s="367">
        <f>W26/1000</f>
        <v>998.77499999999998</v>
      </c>
      <c r="O27" s="367">
        <f>X26/1000</f>
        <v>992.03300000000002</v>
      </c>
      <c r="P27" s="367">
        <f>Y26/1000</f>
        <v>6.742</v>
      </c>
      <c r="Q27" s="370">
        <f t="shared" si="2"/>
        <v>2521.5159769856677</v>
      </c>
      <c r="R27" s="369"/>
      <c r="S27" s="369"/>
      <c r="U27" t="s">
        <v>101</v>
      </c>
      <c r="V27" t="s">
        <v>102</v>
      </c>
      <c r="W27" s="375">
        <f>X27+Y27</f>
        <v>1167712</v>
      </c>
      <c r="X27" s="375">
        <f>Výdaje!J14</f>
        <v>153834</v>
      </c>
      <c r="Y27" s="375">
        <f>Výdaje!K14</f>
        <v>1013878</v>
      </c>
      <c r="Z27" s="367">
        <f t="shared" si="8"/>
        <v>1167.712</v>
      </c>
      <c r="AA27" s="367">
        <f t="shared" si="8"/>
        <v>153.834</v>
      </c>
      <c r="AB27" s="367">
        <f t="shared" si="8"/>
        <v>1013.878</v>
      </c>
    </row>
    <row r="28" spans="12:28" x14ac:dyDescent="0.2">
      <c r="L28" s="380">
        <v>43</v>
      </c>
      <c r="M28" t="s">
        <v>430</v>
      </c>
      <c r="N28" s="367">
        <f>W28/1000</f>
        <v>955.75599999999997</v>
      </c>
      <c r="O28" s="367">
        <f>X28/1000</f>
        <v>923.99099999999999</v>
      </c>
      <c r="P28" s="367">
        <f>Y28/1000</f>
        <v>31.765000000000001</v>
      </c>
      <c r="Q28" s="370">
        <f t="shared" si="2"/>
        <v>2412.9098386522628</v>
      </c>
      <c r="R28" s="369"/>
      <c r="S28" s="369"/>
      <c r="U28" t="s">
        <v>112</v>
      </c>
      <c r="V28" t="s">
        <v>429</v>
      </c>
      <c r="W28" s="375">
        <f t="shared" si="4"/>
        <v>955756</v>
      </c>
      <c r="X28" s="375">
        <f>Výdaje!J22</f>
        <v>923991</v>
      </c>
      <c r="Y28" s="375">
        <f>Výdaje!K22</f>
        <v>31765</v>
      </c>
      <c r="Z28" s="367">
        <f t="shared" si="5"/>
        <v>955.75599999999997</v>
      </c>
      <c r="AA28" s="367">
        <f t="shared" si="3"/>
        <v>923.99099999999999</v>
      </c>
      <c r="AB28" s="367">
        <f t="shared" si="3"/>
        <v>31.765000000000001</v>
      </c>
    </row>
    <row r="29" spans="12:28" x14ac:dyDescent="0.2">
      <c r="L29" s="380">
        <v>63</v>
      </c>
      <c r="M29" t="s">
        <v>209</v>
      </c>
      <c r="N29" s="367">
        <f>W31/1000</f>
        <v>684.94</v>
      </c>
      <c r="O29" s="367">
        <f>X31/1000</f>
        <v>3230.1660000000002</v>
      </c>
      <c r="P29" s="367">
        <f>Y31/1000</f>
        <v>96.53</v>
      </c>
      <c r="Q29" s="370">
        <f t="shared" si="2"/>
        <v>1729.2054299282254</v>
      </c>
      <c r="R29" s="369"/>
      <c r="S29" s="369"/>
    </row>
    <row r="30" spans="12:28" x14ac:dyDescent="0.2">
      <c r="L30" s="380"/>
      <c r="M30" t="s">
        <v>437</v>
      </c>
      <c r="N30" s="367">
        <f>N43</f>
        <v>643.70899999999983</v>
      </c>
      <c r="O30" s="367">
        <f>O43</f>
        <v>449.90399999999988</v>
      </c>
      <c r="P30" s="367">
        <f>P43</f>
        <v>193.80500000000001</v>
      </c>
      <c r="Q30" s="370">
        <f t="shared" si="2"/>
        <v>1625.1132918119365</v>
      </c>
      <c r="R30" s="369"/>
      <c r="S30" s="369"/>
      <c r="U30" t="s">
        <v>113</v>
      </c>
      <c r="V30" t="s">
        <v>114</v>
      </c>
      <c r="W30" s="375">
        <f t="shared" si="4"/>
        <v>565646</v>
      </c>
      <c r="X30" s="375">
        <f>Výdaje!J24</f>
        <v>560211</v>
      </c>
      <c r="Y30" s="375">
        <f>Výdaje!K24</f>
        <v>5435</v>
      </c>
      <c r="Z30" s="367">
        <f t="shared" si="5"/>
        <v>565.64599999999996</v>
      </c>
      <c r="AA30" s="367">
        <f t="shared" si="3"/>
        <v>560.21100000000001</v>
      </c>
      <c r="AB30" s="367">
        <f t="shared" si="3"/>
        <v>5.4349999999999996</v>
      </c>
    </row>
    <row r="31" spans="12:28" x14ac:dyDescent="0.2">
      <c r="L31" s="380">
        <v>53</v>
      </c>
      <c r="M31" t="s">
        <v>114</v>
      </c>
      <c r="N31" s="367">
        <f>W30/1000</f>
        <v>565.64599999999996</v>
      </c>
      <c r="O31" s="367">
        <f>X30/1000</f>
        <v>560.21100000000001</v>
      </c>
      <c r="P31" s="367">
        <f>Y30/1000</f>
        <v>5.4349999999999996</v>
      </c>
      <c r="Q31" s="370">
        <f t="shared" si="2"/>
        <v>1428.0347689099497</v>
      </c>
      <c r="R31" s="369"/>
      <c r="S31" s="369"/>
      <c r="U31" t="s">
        <v>120</v>
      </c>
      <c r="V31" t="s">
        <v>209</v>
      </c>
      <c r="W31" s="375">
        <f>'B a K'!E197</f>
        <v>684940</v>
      </c>
      <c r="X31" s="375">
        <f>Výdaje!J28</f>
        <v>3230166</v>
      </c>
      <c r="Y31" s="375">
        <f>Výdaje!K28</f>
        <v>96530</v>
      </c>
      <c r="Z31" s="367">
        <f t="shared" ref="Z31:AB32" si="9">W31/1000</f>
        <v>684.94</v>
      </c>
      <c r="AA31" s="367">
        <f t="shared" si="9"/>
        <v>3230.1660000000002</v>
      </c>
      <c r="AB31" s="367">
        <f t="shared" si="9"/>
        <v>96.53</v>
      </c>
    </row>
    <row r="32" spans="12:28" x14ac:dyDescent="0.2">
      <c r="L32" s="380">
        <v>35</v>
      </c>
      <c r="M32" t="s">
        <v>107</v>
      </c>
      <c r="N32" s="367">
        <f>W32/1000</f>
        <v>359.42700000000002</v>
      </c>
      <c r="O32" s="367">
        <f t="shared" ref="O32" si="10">X32/1000</f>
        <v>334.32299999999998</v>
      </c>
      <c r="P32" s="367">
        <f t="shared" ref="P32" si="11">Y32/1000</f>
        <v>25.103999999999999</v>
      </c>
      <c r="Q32" s="370">
        <f t="shared" si="2"/>
        <v>907.41250337666406</v>
      </c>
      <c r="R32" s="369"/>
      <c r="S32" s="369"/>
      <c r="U32" t="s">
        <v>106</v>
      </c>
      <c r="V32" t="s">
        <v>107</v>
      </c>
      <c r="W32" s="375">
        <f>X32+Y32</f>
        <v>359427</v>
      </c>
      <c r="X32" s="375">
        <f>Výdaje!J17</f>
        <v>334323</v>
      </c>
      <c r="Y32" s="375">
        <f>Výdaje!K17</f>
        <v>25104</v>
      </c>
      <c r="Z32" s="367">
        <f t="shared" si="9"/>
        <v>359.42700000000002</v>
      </c>
      <c r="AA32" s="367">
        <f t="shared" si="9"/>
        <v>334.32299999999998</v>
      </c>
      <c r="AB32" s="367">
        <f t="shared" si="9"/>
        <v>25.103999999999999</v>
      </c>
    </row>
    <row r="33" spans="12:28" x14ac:dyDescent="0.2">
      <c r="L33" s="380"/>
      <c r="M33" s="365" t="s">
        <v>87</v>
      </c>
      <c r="N33" s="368">
        <f>SUM(N20:N32)</f>
        <v>21405.697</v>
      </c>
      <c r="O33" s="368">
        <f>SUM(O20:O32)</f>
        <v>19447.850000000002</v>
      </c>
      <c r="P33" s="368">
        <f>SUM(P20:P32)</f>
        <v>4599.603000000001</v>
      </c>
      <c r="Q33" s="373">
        <f t="shared" si="2"/>
        <v>54041.007217856051</v>
      </c>
      <c r="R33" s="369"/>
      <c r="S33" s="369"/>
      <c r="W33" s="375"/>
      <c r="X33" s="375"/>
      <c r="Y33" s="375"/>
      <c r="Z33" s="367"/>
      <c r="AA33" s="367"/>
      <c r="AB33" s="367"/>
    </row>
    <row r="34" spans="12:28" x14ac:dyDescent="0.2">
      <c r="L34" s="380">
        <v>64</v>
      </c>
      <c r="M34" s="369" t="s">
        <v>211</v>
      </c>
      <c r="N34" s="370">
        <f>W34/1000</f>
        <v>296.02800000000002</v>
      </c>
      <c r="O34" s="370">
        <f t="shared" ref="O34:P42" si="12">X34/1000</f>
        <v>135.63300000000001</v>
      </c>
      <c r="P34" s="370">
        <f t="shared" si="12"/>
        <v>160.39500000000001</v>
      </c>
      <c r="U34" t="s">
        <v>210</v>
      </c>
      <c r="V34" t="s">
        <v>211</v>
      </c>
      <c r="W34" s="375">
        <f t="shared" ref="W34:W42" si="13">X34+Y34</f>
        <v>296028</v>
      </c>
      <c r="X34" s="375">
        <f>Výdaje!J29</f>
        <v>135633</v>
      </c>
      <c r="Y34" s="375">
        <f>Výdaje!K29</f>
        <v>160395</v>
      </c>
      <c r="Z34" s="367">
        <f t="shared" ref="Z34:Z42" si="14">W34/1000</f>
        <v>296.02800000000002</v>
      </c>
      <c r="AA34" s="367">
        <f t="shared" si="3"/>
        <v>135.63300000000001</v>
      </c>
      <c r="AB34" s="367">
        <f t="shared" si="3"/>
        <v>160.39500000000001</v>
      </c>
    </row>
    <row r="35" spans="12:28" x14ac:dyDescent="0.2">
      <c r="L35" s="380">
        <v>21</v>
      </c>
      <c r="M35" s="369" t="s">
        <v>96</v>
      </c>
      <c r="N35" s="370">
        <f t="shared" ref="N35:N42" si="15">W35/1000</f>
        <v>114.852</v>
      </c>
      <c r="O35" s="370">
        <f t="shared" si="12"/>
        <v>104.06699999999999</v>
      </c>
      <c r="P35" s="370">
        <f t="shared" si="12"/>
        <v>10.785</v>
      </c>
      <c r="U35" t="s">
        <v>95</v>
      </c>
      <c r="V35" t="s">
        <v>96</v>
      </c>
      <c r="W35" s="375">
        <f t="shared" si="13"/>
        <v>114852</v>
      </c>
      <c r="X35" s="375">
        <f>Výdaje!J10</f>
        <v>104067</v>
      </c>
      <c r="Y35" s="375">
        <f>Výdaje!K10</f>
        <v>10785</v>
      </c>
      <c r="Z35" s="367">
        <f t="shared" si="14"/>
        <v>114.852</v>
      </c>
      <c r="AA35" s="367">
        <f>X35/1000</f>
        <v>104.06699999999999</v>
      </c>
      <c r="AB35" s="367">
        <f>Y35/1000</f>
        <v>10.785</v>
      </c>
    </row>
    <row r="36" spans="12:28" x14ac:dyDescent="0.2">
      <c r="L36" s="380">
        <v>55</v>
      </c>
      <c r="M36" s="369" t="s">
        <v>115</v>
      </c>
      <c r="N36" s="370">
        <f t="shared" si="15"/>
        <v>85.489000000000004</v>
      </c>
      <c r="O36" s="370">
        <f t="shared" si="12"/>
        <v>67.344999999999999</v>
      </c>
      <c r="P36" s="370">
        <f t="shared" si="12"/>
        <v>18.143999999999998</v>
      </c>
      <c r="U36" t="s">
        <v>208</v>
      </c>
      <c r="V36" t="s">
        <v>115</v>
      </c>
      <c r="W36" s="375">
        <f t="shared" si="13"/>
        <v>85489</v>
      </c>
      <c r="X36" s="375">
        <f>Výdaje!J25</f>
        <v>67345</v>
      </c>
      <c r="Y36" s="375">
        <f>Výdaje!K25</f>
        <v>18144</v>
      </c>
      <c r="Z36" s="367">
        <f t="shared" si="14"/>
        <v>85.489000000000004</v>
      </c>
      <c r="AA36" s="367">
        <f t="shared" si="3"/>
        <v>67.344999999999999</v>
      </c>
      <c r="AB36" s="367">
        <f t="shared" si="3"/>
        <v>18.143999999999998</v>
      </c>
    </row>
    <row r="37" spans="12:28" x14ac:dyDescent="0.2">
      <c r="L37" s="380">
        <v>39</v>
      </c>
      <c r="M37" s="369" t="s">
        <v>206</v>
      </c>
      <c r="N37" s="370">
        <f t="shared" si="15"/>
        <v>48.222000000000001</v>
      </c>
      <c r="O37" s="370">
        <f t="shared" si="12"/>
        <v>47.250999999999998</v>
      </c>
      <c r="P37" s="370">
        <f t="shared" si="12"/>
        <v>0.97099999999999997</v>
      </c>
      <c r="U37" s="382">
        <v>39</v>
      </c>
      <c r="V37" t="s">
        <v>206</v>
      </c>
      <c r="W37" s="375">
        <f t="shared" si="13"/>
        <v>48222</v>
      </c>
      <c r="X37" s="375">
        <f>Výdaje!J21</f>
        <v>47251</v>
      </c>
      <c r="Y37" s="375">
        <f>Výdaje!K21</f>
        <v>971</v>
      </c>
      <c r="Z37" s="367">
        <f t="shared" si="14"/>
        <v>48.222000000000001</v>
      </c>
      <c r="AA37" s="367">
        <f t="shared" ref="AA37:AA42" si="16">X37/1000</f>
        <v>47.250999999999998</v>
      </c>
      <c r="AB37" s="367">
        <f t="shared" ref="AB37:AB42" si="17">Y37/1000</f>
        <v>0.97099999999999997</v>
      </c>
    </row>
    <row r="38" spans="12:28" x14ac:dyDescent="0.2">
      <c r="L38" s="380">
        <v>38</v>
      </c>
      <c r="M38" s="369" t="s">
        <v>205</v>
      </c>
      <c r="N38" s="370">
        <f t="shared" si="15"/>
        <v>40.799999999999997</v>
      </c>
      <c r="O38" s="370">
        <f t="shared" si="12"/>
        <v>40.799999999999997</v>
      </c>
      <c r="P38" s="370">
        <f t="shared" si="12"/>
        <v>0</v>
      </c>
      <c r="U38" t="s">
        <v>204</v>
      </c>
      <c r="V38" t="s">
        <v>205</v>
      </c>
      <c r="W38" s="375">
        <f t="shared" si="13"/>
        <v>40800</v>
      </c>
      <c r="X38" s="375">
        <f>Výdaje!J20</f>
        <v>40800</v>
      </c>
      <c r="Y38" s="375">
        <f>Výdaje!K20</f>
        <v>0</v>
      </c>
      <c r="Z38" s="367">
        <f t="shared" si="14"/>
        <v>40.799999999999997</v>
      </c>
      <c r="AA38" s="367">
        <f>X38/1000</f>
        <v>40.799999999999997</v>
      </c>
      <c r="AB38" s="367">
        <f>Y38/1000</f>
        <v>0</v>
      </c>
    </row>
    <row r="39" spans="12:28" x14ac:dyDescent="0.2">
      <c r="L39" s="380">
        <v>62</v>
      </c>
      <c r="M39" s="369" t="s">
        <v>119</v>
      </c>
      <c r="N39" s="370">
        <f t="shared" si="15"/>
        <v>20.995000000000001</v>
      </c>
      <c r="O39" s="370">
        <f t="shared" si="12"/>
        <v>20.965</v>
      </c>
      <c r="P39" s="370">
        <f t="shared" si="12"/>
        <v>0.03</v>
      </c>
      <c r="U39" t="s">
        <v>118</v>
      </c>
      <c r="V39" t="s">
        <v>119</v>
      </c>
      <c r="W39" s="375">
        <f t="shared" si="13"/>
        <v>20995</v>
      </c>
      <c r="X39" s="375">
        <f>Výdaje!J27</f>
        <v>20965</v>
      </c>
      <c r="Y39" s="375">
        <f>Výdaje!K27</f>
        <v>30</v>
      </c>
      <c r="Z39" s="367">
        <f t="shared" si="14"/>
        <v>20.995000000000001</v>
      </c>
      <c r="AA39" s="367">
        <f t="shared" si="16"/>
        <v>20.965</v>
      </c>
      <c r="AB39" s="367">
        <f t="shared" si="17"/>
        <v>0.03</v>
      </c>
    </row>
    <row r="40" spans="12:28" x14ac:dyDescent="0.2">
      <c r="L40" s="380">
        <v>10</v>
      </c>
      <c r="M40" s="369" t="s">
        <v>94</v>
      </c>
      <c r="N40" s="370">
        <f t="shared" si="15"/>
        <v>28.495000000000001</v>
      </c>
      <c r="O40" s="370">
        <f t="shared" si="12"/>
        <v>27.859000000000002</v>
      </c>
      <c r="P40" s="370">
        <f t="shared" si="12"/>
        <v>0.63600000000000001</v>
      </c>
      <c r="U40" t="s">
        <v>93</v>
      </c>
      <c r="V40" t="s">
        <v>94</v>
      </c>
      <c r="W40" s="375">
        <f t="shared" si="13"/>
        <v>28495</v>
      </c>
      <c r="X40" s="375">
        <f>Výdaje!J9</f>
        <v>27859</v>
      </c>
      <c r="Y40" s="375">
        <f>Výdaje!K9</f>
        <v>636</v>
      </c>
      <c r="Z40" s="367">
        <f t="shared" si="14"/>
        <v>28.495000000000001</v>
      </c>
      <c r="AA40" s="367">
        <f t="shared" si="16"/>
        <v>27.859000000000002</v>
      </c>
      <c r="AB40" s="367">
        <f t="shared" si="17"/>
        <v>0.63600000000000001</v>
      </c>
    </row>
    <row r="41" spans="12:28" x14ac:dyDescent="0.2">
      <c r="L41" s="380">
        <v>52</v>
      </c>
      <c r="M41" s="369" t="s">
        <v>440</v>
      </c>
      <c r="N41" s="370">
        <f t="shared" si="15"/>
        <v>8.8130000000000006</v>
      </c>
      <c r="O41" s="370">
        <f t="shared" si="12"/>
        <v>5.984</v>
      </c>
      <c r="P41" s="370">
        <f t="shared" si="12"/>
        <v>2.8290000000000002</v>
      </c>
      <c r="U41" t="s">
        <v>207</v>
      </c>
      <c r="V41" t="s">
        <v>440</v>
      </c>
      <c r="W41" s="375">
        <f t="shared" si="13"/>
        <v>8813</v>
      </c>
      <c r="X41" s="375">
        <f>Výdaje!J23</f>
        <v>5984</v>
      </c>
      <c r="Y41" s="375">
        <f>Výdaje!K23</f>
        <v>2829</v>
      </c>
      <c r="Z41" s="367">
        <f t="shared" si="14"/>
        <v>8.8130000000000006</v>
      </c>
      <c r="AA41" s="367">
        <f t="shared" si="16"/>
        <v>5.984</v>
      </c>
      <c r="AB41" s="367">
        <f t="shared" si="17"/>
        <v>2.8290000000000002</v>
      </c>
    </row>
    <row r="42" spans="12:28" x14ac:dyDescent="0.2">
      <c r="L42" s="380">
        <v>24</v>
      </c>
      <c r="M42" s="369" t="s">
        <v>316</v>
      </c>
      <c r="N42" s="370">
        <f t="shared" si="15"/>
        <v>1.4999999999999999E-2</v>
      </c>
      <c r="O42" s="370">
        <f t="shared" si="12"/>
        <v>0</v>
      </c>
      <c r="P42" s="370">
        <f t="shared" si="12"/>
        <v>1.4999999999999999E-2</v>
      </c>
      <c r="U42" s="382">
        <v>24</v>
      </c>
      <c r="V42" t="s">
        <v>316</v>
      </c>
      <c r="W42" s="375">
        <f t="shared" si="13"/>
        <v>15</v>
      </c>
      <c r="X42" s="375">
        <f>Výdaje!J13</f>
        <v>0</v>
      </c>
      <c r="Y42" s="375">
        <f>Výdaje!K13</f>
        <v>15</v>
      </c>
      <c r="Z42" s="367">
        <f t="shared" si="14"/>
        <v>1.4999999999999999E-2</v>
      </c>
      <c r="AA42" s="367">
        <f t="shared" si="16"/>
        <v>0</v>
      </c>
      <c r="AB42" s="367">
        <f t="shared" si="17"/>
        <v>1.4999999999999999E-2</v>
      </c>
    </row>
    <row r="43" spans="12:28" x14ac:dyDescent="0.2">
      <c r="M43" s="369" t="s">
        <v>87</v>
      </c>
      <c r="N43" s="371">
        <f>O43+P43</f>
        <v>643.70899999999983</v>
      </c>
      <c r="O43" s="371">
        <f>SUM(O34:O42)</f>
        <v>449.90399999999988</v>
      </c>
      <c r="P43" s="371">
        <f>SUM(P34:P42)</f>
        <v>193.80500000000001</v>
      </c>
      <c r="W43" s="387">
        <f>SUM(W20:W42)</f>
        <v>21405697</v>
      </c>
      <c r="X43" s="387">
        <f>SUM(X20:X42)</f>
        <v>19447850</v>
      </c>
      <c r="Y43" s="387">
        <f>SUM(Y20:Y42)</f>
        <v>4599603</v>
      </c>
    </row>
    <row r="44" spans="12:28" x14ac:dyDescent="0.2">
      <c r="N44" s="368"/>
      <c r="O44" s="368"/>
      <c r="P44" s="368"/>
    </row>
    <row r="46" spans="12:28" x14ac:dyDescent="0.2">
      <c r="N46" s="368"/>
      <c r="O46" s="368"/>
      <c r="P46" s="368"/>
    </row>
    <row r="68" spans="23:25" x14ac:dyDescent="0.2">
      <c r="W68" s="368"/>
      <c r="X68" s="368"/>
      <c r="Y68" s="368"/>
    </row>
  </sheetData>
  <sortState xmlns:xlrd2="http://schemas.microsoft.com/office/spreadsheetml/2017/richdata2" ref="M2:N15">
    <sortCondition ref="N2:N15"/>
  </sortState>
  <printOptions horizontalCentered="1"/>
  <pageMargins left="0.39370078740157483" right="0.31496062992125984" top="0.45" bottom="0.5118110236220472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53"/>
  <sheetViews>
    <sheetView showZeros="0" zoomScale="115" zoomScaleNormal="115" zoomScaleSheetLayoutView="100" workbookViewId="0">
      <pane xSplit="4" ySplit="5" topLeftCell="E6" activePane="bottomRight" state="frozen"/>
      <selection activeCell="I64" sqref="I64"/>
      <selection pane="topRight" activeCell="I64" sqref="I64"/>
      <selection pane="bottomLeft" activeCell="I64" sqref="I64"/>
      <selection pane="bottomRight" activeCell="K84" sqref="K84"/>
    </sheetView>
  </sheetViews>
  <sheetFormatPr defaultColWidth="9.140625" defaultRowHeight="12.75" x14ac:dyDescent="0.2"/>
  <cols>
    <col min="1" max="1" width="8" style="292" customWidth="1"/>
    <col min="2" max="2" width="6.5703125" style="292" customWidth="1"/>
    <col min="3" max="3" width="5.7109375" style="293" customWidth="1"/>
    <col min="4" max="4" width="51.28515625" style="294" customWidth="1"/>
    <col min="5" max="5" width="13" style="295" customWidth="1"/>
    <col min="6" max="13" width="13" style="292" customWidth="1"/>
    <col min="14" max="16384" width="9.140625" style="292"/>
  </cols>
  <sheetData>
    <row r="1" spans="1:15" ht="18.75" x14ac:dyDescent="0.3">
      <c r="A1" s="408" t="s">
        <v>450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5" x14ac:dyDescent="0.2">
      <c r="A2" s="417" t="s">
        <v>130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</row>
    <row r="3" spans="1:15" x14ac:dyDescent="0.2">
      <c r="M3" s="296" t="s">
        <v>296</v>
      </c>
    </row>
    <row r="4" spans="1:15" x14ac:dyDescent="0.2">
      <c r="A4" s="434" t="s">
        <v>294</v>
      </c>
      <c r="B4" s="434" t="s">
        <v>131</v>
      </c>
      <c r="C4" s="436" t="s">
        <v>132</v>
      </c>
      <c r="D4" s="436" t="s">
        <v>212</v>
      </c>
      <c r="E4" s="433" t="s">
        <v>198</v>
      </c>
      <c r="F4" s="433"/>
      <c r="G4" s="433"/>
      <c r="H4" s="433" t="s">
        <v>199</v>
      </c>
      <c r="I4" s="433"/>
      <c r="J4" s="433"/>
      <c r="K4" s="433" t="s">
        <v>200</v>
      </c>
      <c r="L4" s="433"/>
      <c r="M4" s="433"/>
    </row>
    <row r="5" spans="1:15" ht="25.5" x14ac:dyDescent="0.2">
      <c r="A5" s="435"/>
      <c r="B5" s="435"/>
      <c r="C5" s="436"/>
      <c r="D5" s="436"/>
      <c r="E5" s="325" t="s">
        <v>80</v>
      </c>
      <c r="F5" s="325" t="s">
        <v>6</v>
      </c>
      <c r="G5" s="325" t="s">
        <v>7</v>
      </c>
      <c r="H5" s="325" t="s">
        <v>80</v>
      </c>
      <c r="I5" s="325" t="s">
        <v>6</v>
      </c>
      <c r="J5" s="325" t="s">
        <v>7</v>
      </c>
      <c r="K5" s="325" t="s">
        <v>80</v>
      </c>
      <c r="L5" s="325" t="s">
        <v>6</v>
      </c>
      <c r="M5" s="325" t="s">
        <v>7</v>
      </c>
    </row>
    <row r="6" spans="1:15" x14ac:dyDescent="0.2">
      <c r="A6" s="329"/>
      <c r="B6" s="330"/>
      <c r="C6" s="329"/>
      <c r="D6" s="329"/>
      <c r="E6" s="324"/>
      <c r="F6" s="324"/>
      <c r="G6" s="324"/>
      <c r="H6" s="324"/>
      <c r="I6" s="324"/>
      <c r="J6" s="324"/>
      <c r="K6" s="324"/>
      <c r="L6" s="324"/>
      <c r="M6" s="324"/>
    </row>
    <row r="7" spans="1:15" x14ac:dyDescent="0.2">
      <c r="A7" s="297" t="str">
        <f t="shared" ref="A7:A12" si="0">MID(C7,1,1)</f>
        <v>1</v>
      </c>
      <c r="B7" s="297" t="str">
        <f t="shared" ref="B7:B12" si="1">MID(C7,1,2)</f>
        <v>10</v>
      </c>
      <c r="C7" s="297">
        <v>1012</v>
      </c>
      <c r="D7" s="331" t="s">
        <v>409</v>
      </c>
      <c r="E7" s="298">
        <f t="shared" ref="E7:E12" si="2">+F7+G7</f>
        <v>50</v>
      </c>
      <c r="F7" s="298"/>
      <c r="G7" s="298">
        <v>50</v>
      </c>
      <c r="H7" s="298">
        <f>+I7+J7</f>
        <v>0</v>
      </c>
      <c r="I7" s="298"/>
      <c r="J7" s="298"/>
      <c r="K7" s="342">
        <f>+L7+M7</f>
        <v>50</v>
      </c>
      <c r="L7" s="298">
        <f t="shared" ref="L7:L12" si="3">+F7+I7</f>
        <v>0</v>
      </c>
      <c r="M7" s="326">
        <f t="shared" ref="M7" si="4">+G7+J7</f>
        <v>50</v>
      </c>
    </row>
    <row r="8" spans="1:15" x14ac:dyDescent="0.2">
      <c r="A8" s="297" t="str">
        <f t="shared" si="0"/>
        <v>1</v>
      </c>
      <c r="B8" s="297" t="str">
        <f t="shared" si="1"/>
        <v>10</v>
      </c>
      <c r="C8" s="297">
        <v>1014</v>
      </c>
      <c r="D8" s="381" t="s">
        <v>321</v>
      </c>
      <c r="E8" s="298">
        <f t="shared" si="2"/>
        <v>14362</v>
      </c>
      <c r="F8" s="298">
        <v>14047</v>
      </c>
      <c r="G8" s="298">
        <v>315</v>
      </c>
      <c r="H8" s="298">
        <f>+I8+J8</f>
        <v>310</v>
      </c>
      <c r="I8" s="298">
        <v>310</v>
      </c>
      <c r="J8" s="298"/>
      <c r="K8" s="342">
        <f t="shared" ref="K8:K12" si="5">+L8+M8</f>
        <v>14672</v>
      </c>
      <c r="L8" s="298">
        <f t="shared" si="3"/>
        <v>14357</v>
      </c>
      <c r="M8" s="326">
        <f t="shared" ref="M8:M12" si="6">+G8+J8</f>
        <v>315</v>
      </c>
    </row>
    <row r="9" spans="1:15" x14ac:dyDescent="0.2">
      <c r="A9" s="299" t="str">
        <f t="shared" si="0"/>
        <v>1</v>
      </c>
      <c r="B9" s="299" t="str">
        <f t="shared" si="1"/>
        <v>10</v>
      </c>
      <c r="C9" s="297">
        <v>1019</v>
      </c>
      <c r="D9" s="331" t="s">
        <v>139</v>
      </c>
      <c r="E9" s="298">
        <f t="shared" si="2"/>
        <v>1568</v>
      </c>
      <c r="F9" s="298">
        <v>1322</v>
      </c>
      <c r="G9" s="298">
        <v>246</v>
      </c>
      <c r="H9" s="298">
        <f t="shared" ref="H9:H12" si="7">+I9+J9</f>
        <v>0</v>
      </c>
      <c r="I9" s="298"/>
      <c r="J9" s="298"/>
      <c r="K9" s="342">
        <f t="shared" si="5"/>
        <v>1568</v>
      </c>
      <c r="L9" s="298">
        <f t="shared" si="3"/>
        <v>1322</v>
      </c>
      <c r="M9" s="326">
        <f t="shared" si="6"/>
        <v>246</v>
      </c>
    </row>
    <row r="10" spans="1:15" x14ac:dyDescent="0.2">
      <c r="A10" s="299" t="str">
        <f t="shared" si="0"/>
        <v>1</v>
      </c>
      <c r="B10" s="299" t="str">
        <f t="shared" si="1"/>
        <v>10</v>
      </c>
      <c r="C10" s="299">
        <v>1037</v>
      </c>
      <c r="D10" s="226" t="s">
        <v>213</v>
      </c>
      <c r="E10" s="298">
        <f t="shared" si="2"/>
        <v>180</v>
      </c>
      <c r="F10" s="300">
        <v>180</v>
      </c>
      <c r="G10" s="300"/>
      <c r="H10" s="298">
        <f t="shared" si="7"/>
        <v>0</v>
      </c>
      <c r="I10" s="300"/>
      <c r="J10" s="300"/>
      <c r="K10" s="342">
        <f t="shared" si="5"/>
        <v>180</v>
      </c>
      <c r="L10" s="298">
        <f t="shared" si="3"/>
        <v>180</v>
      </c>
      <c r="M10" s="326">
        <f t="shared" si="6"/>
        <v>0</v>
      </c>
    </row>
    <row r="11" spans="1:15" x14ac:dyDescent="0.2">
      <c r="A11" s="299" t="str">
        <f t="shared" ref="A11" si="8">MID(C11,1,1)</f>
        <v>1</v>
      </c>
      <c r="B11" s="299" t="str">
        <f t="shared" ref="B11" si="9">MID(C11,1,2)</f>
        <v>10</v>
      </c>
      <c r="C11" s="299">
        <v>1039</v>
      </c>
      <c r="D11" s="226" t="s">
        <v>395</v>
      </c>
      <c r="E11" s="298">
        <f t="shared" si="2"/>
        <v>0</v>
      </c>
      <c r="F11" s="300"/>
      <c r="G11" s="300"/>
      <c r="H11" s="298">
        <f t="shared" ref="H11" si="10">+I11+J11</f>
        <v>12000</v>
      </c>
      <c r="I11" s="300">
        <v>12000</v>
      </c>
      <c r="J11" s="300"/>
      <c r="K11" s="342">
        <f t="shared" ref="K11" si="11">+L11+M11</f>
        <v>12000</v>
      </c>
      <c r="L11" s="298">
        <f t="shared" si="3"/>
        <v>12000</v>
      </c>
      <c r="M11" s="326">
        <f t="shared" si="6"/>
        <v>0</v>
      </c>
    </row>
    <row r="12" spans="1:15" x14ac:dyDescent="0.2">
      <c r="A12" s="299" t="str">
        <f t="shared" si="0"/>
        <v>1</v>
      </c>
      <c r="B12" s="299" t="str">
        <f t="shared" si="1"/>
        <v>10</v>
      </c>
      <c r="C12" s="299">
        <v>1070</v>
      </c>
      <c r="D12" s="226" t="s">
        <v>414</v>
      </c>
      <c r="E12" s="298">
        <f t="shared" si="2"/>
        <v>25</v>
      </c>
      <c r="F12" s="300"/>
      <c r="G12" s="300">
        <v>25</v>
      </c>
      <c r="H12" s="298">
        <f t="shared" si="7"/>
        <v>0</v>
      </c>
      <c r="I12" s="300"/>
      <c r="J12" s="300"/>
      <c r="K12" s="342">
        <f t="shared" si="5"/>
        <v>25</v>
      </c>
      <c r="L12" s="298">
        <f t="shared" si="3"/>
        <v>0</v>
      </c>
      <c r="M12" s="326">
        <f t="shared" si="6"/>
        <v>25</v>
      </c>
    </row>
    <row r="13" spans="1:15" x14ac:dyDescent="0.2">
      <c r="A13" s="301" t="s">
        <v>401</v>
      </c>
      <c r="B13" s="301"/>
      <c r="C13" s="302"/>
      <c r="D13" s="332"/>
      <c r="E13" s="303">
        <f t="shared" ref="E13:M13" si="12">SUM(E7:E12)</f>
        <v>16185</v>
      </c>
      <c r="F13" s="303">
        <f t="shared" si="12"/>
        <v>15549</v>
      </c>
      <c r="G13" s="303">
        <f t="shared" si="12"/>
        <v>636</v>
      </c>
      <c r="H13" s="303">
        <f t="shared" si="12"/>
        <v>12310</v>
      </c>
      <c r="I13" s="303">
        <f t="shared" si="12"/>
        <v>12310</v>
      </c>
      <c r="J13" s="303">
        <f t="shared" si="12"/>
        <v>0</v>
      </c>
      <c r="K13" s="341">
        <f>SUM(K7:K12)</f>
        <v>28495</v>
      </c>
      <c r="L13" s="303">
        <f t="shared" si="12"/>
        <v>27859</v>
      </c>
      <c r="M13" s="304">
        <f t="shared" si="12"/>
        <v>636</v>
      </c>
      <c r="N13" s="295"/>
      <c r="O13" s="295"/>
    </row>
    <row r="14" spans="1:15" ht="12" customHeight="1" thickBot="1" x14ac:dyDescent="0.25">
      <c r="A14" s="306"/>
      <c r="B14" s="305"/>
      <c r="C14" s="306"/>
      <c r="D14" s="333"/>
      <c r="E14" s="307"/>
      <c r="F14" s="307"/>
      <c r="G14" s="307"/>
      <c r="H14" s="307"/>
      <c r="I14" s="307"/>
      <c r="J14" s="307"/>
      <c r="K14" s="343"/>
      <c r="L14" s="307"/>
      <c r="M14" s="344"/>
      <c r="N14" s="295"/>
      <c r="O14" s="295"/>
    </row>
    <row r="15" spans="1:15" ht="14.25" thickTop="1" thickBot="1" x14ac:dyDescent="0.25">
      <c r="A15" s="321" t="s">
        <v>402</v>
      </c>
      <c r="B15" s="308"/>
      <c r="C15" s="308"/>
      <c r="D15" s="334"/>
      <c r="E15" s="309">
        <f>+E13</f>
        <v>16185</v>
      </c>
      <c r="F15" s="309">
        <f>+F13</f>
        <v>15549</v>
      </c>
      <c r="G15" s="309">
        <f>+G13</f>
        <v>636</v>
      </c>
      <c r="H15" s="309">
        <f>+H13</f>
        <v>12310</v>
      </c>
      <c r="I15" s="309">
        <f>I13</f>
        <v>12310</v>
      </c>
      <c r="J15" s="309">
        <f>J13</f>
        <v>0</v>
      </c>
      <c r="K15" s="345">
        <f>+K13</f>
        <v>28495</v>
      </c>
      <c r="L15" s="309">
        <f>+L13</f>
        <v>27859</v>
      </c>
      <c r="M15" s="346">
        <f>+M13</f>
        <v>636</v>
      </c>
      <c r="N15" s="295"/>
      <c r="O15" s="295"/>
    </row>
    <row r="16" spans="1:15" ht="10.5" customHeight="1" thickTop="1" x14ac:dyDescent="0.2">
      <c r="A16" s="335"/>
      <c r="B16" s="297"/>
      <c r="C16" s="297"/>
      <c r="D16" s="331"/>
      <c r="E16" s="310"/>
      <c r="F16" s="310"/>
      <c r="G16" s="310"/>
      <c r="H16" s="310"/>
      <c r="I16" s="310"/>
      <c r="J16" s="310"/>
      <c r="K16" s="347"/>
      <c r="L16" s="310"/>
      <c r="M16" s="348"/>
      <c r="N16" s="295"/>
      <c r="O16" s="295"/>
    </row>
    <row r="17" spans="1:15" x14ac:dyDescent="0.2">
      <c r="A17" s="299" t="str">
        <f t="shared" ref="A17:A22" si="13">MID(C17,1,1)</f>
        <v>2</v>
      </c>
      <c r="B17" s="299" t="str">
        <f t="shared" ref="B17:B22" si="14">MID(C17,1,2)</f>
        <v>21</v>
      </c>
      <c r="C17" s="299">
        <v>2115</v>
      </c>
      <c r="D17" s="226" t="s">
        <v>214</v>
      </c>
      <c r="E17" s="298">
        <f>+F17+G17</f>
        <v>1930</v>
      </c>
      <c r="F17" s="300">
        <v>1930</v>
      </c>
      <c r="G17" s="300"/>
      <c r="H17" s="300">
        <f>+I17+J17</f>
        <v>0</v>
      </c>
      <c r="I17" s="300"/>
      <c r="J17" s="300"/>
      <c r="K17" s="342">
        <f t="shared" ref="K17:K18" si="15">+L17+M17</f>
        <v>1930</v>
      </c>
      <c r="L17" s="298">
        <f t="shared" ref="L17:L18" si="16">+F17+I17</f>
        <v>1930</v>
      </c>
      <c r="M17" s="326">
        <f t="shared" ref="M17:M18" si="17">+G17+J17</f>
        <v>0</v>
      </c>
      <c r="N17" s="295"/>
      <c r="O17" s="295"/>
    </row>
    <row r="18" spans="1:15" x14ac:dyDescent="0.2">
      <c r="A18" s="299" t="str">
        <f t="shared" ref="A18" si="18">MID(C18,1,1)</f>
        <v>2</v>
      </c>
      <c r="B18" s="299" t="str">
        <f t="shared" ref="B18" si="19">MID(C18,1,2)</f>
        <v>21</v>
      </c>
      <c r="C18" s="299">
        <v>2119</v>
      </c>
      <c r="D18" s="226" t="s">
        <v>454</v>
      </c>
      <c r="E18" s="298">
        <f>+F18+G18</f>
        <v>7650</v>
      </c>
      <c r="F18" s="300">
        <v>7650</v>
      </c>
      <c r="G18" s="300"/>
      <c r="H18" s="300">
        <f t="shared" ref="H18" si="20">+I18+J18</f>
        <v>0</v>
      </c>
      <c r="I18" s="300"/>
      <c r="J18" s="300"/>
      <c r="K18" s="342">
        <f t="shared" si="15"/>
        <v>7650</v>
      </c>
      <c r="L18" s="298">
        <f t="shared" si="16"/>
        <v>7650</v>
      </c>
      <c r="M18" s="326">
        <f t="shared" si="17"/>
        <v>0</v>
      </c>
      <c r="N18" s="295"/>
      <c r="O18" s="295"/>
    </row>
    <row r="19" spans="1:15" x14ac:dyDescent="0.2">
      <c r="A19" s="299" t="str">
        <f t="shared" si="13"/>
        <v>2</v>
      </c>
      <c r="B19" s="299" t="str">
        <f t="shared" si="14"/>
        <v>21</v>
      </c>
      <c r="C19" s="299">
        <v>2125</v>
      </c>
      <c r="D19" s="226" t="s">
        <v>317</v>
      </c>
      <c r="E19" s="298">
        <f>+F19+G19</f>
        <v>23400</v>
      </c>
      <c r="F19" s="300">
        <v>23400</v>
      </c>
      <c r="G19" s="300"/>
      <c r="H19" s="300">
        <f t="shared" ref="H19:H22" si="21">+I19+J19</f>
        <v>2000</v>
      </c>
      <c r="I19" s="300">
        <v>2000</v>
      </c>
      <c r="J19" s="300"/>
      <c r="K19" s="342">
        <f t="shared" ref="K19:K22" si="22">+L19+M19</f>
        <v>25400</v>
      </c>
      <c r="L19" s="298">
        <f t="shared" ref="L19:L22" si="23">+F19+I19</f>
        <v>25400</v>
      </c>
      <c r="M19" s="326">
        <f t="shared" ref="M19:M22" si="24">+G19+J19</f>
        <v>0</v>
      </c>
      <c r="N19" s="295"/>
      <c r="O19" s="295"/>
    </row>
    <row r="20" spans="1:15" x14ac:dyDescent="0.2">
      <c r="A20" s="299" t="str">
        <f t="shared" si="13"/>
        <v>2</v>
      </c>
      <c r="B20" s="299" t="str">
        <f t="shared" si="14"/>
        <v>21</v>
      </c>
      <c r="C20" s="299">
        <v>2141</v>
      </c>
      <c r="D20" s="226" t="s">
        <v>143</v>
      </c>
      <c r="E20" s="298">
        <f t="shared" ref="E20:E22" si="25">+F20+G20</f>
        <v>9065</v>
      </c>
      <c r="F20" s="300"/>
      <c r="G20" s="300">
        <v>9065</v>
      </c>
      <c r="H20" s="298">
        <f>+I20+J20</f>
        <v>500</v>
      </c>
      <c r="I20" s="300"/>
      <c r="J20" s="300">
        <v>500</v>
      </c>
      <c r="K20" s="342">
        <f t="shared" si="22"/>
        <v>9565</v>
      </c>
      <c r="L20" s="298">
        <f t="shared" si="23"/>
        <v>0</v>
      </c>
      <c r="M20" s="326">
        <f t="shared" si="24"/>
        <v>9565</v>
      </c>
      <c r="N20" s="295"/>
      <c r="O20" s="295"/>
    </row>
    <row r="21" spans="1:15" x14ac:dyDescent="0.2">
      <c r="A21" s="299" t="str">
        <f t="shared" si="13"/>
        <v>2</v>
      </c>
      <c r="B21" s="299" t="str">
        <f t="shared" si="14"/>
        <v>21</v>
      </c>
      <c r="C21" s="299">
        <v>2143</v>
      </c>
      <c r="D21" s="336" t="s">
        <v>144</v>
      </c>
      <c r="E21" s="298">
        <f t="shared" ref="E21" si="26">+F21+G21</f>
        <v>58507</v>
      </c>
      <c r="F21" s="300">
        <v>58287</v>
      </c>
      <c r="G21" s="300">
        <v>220</v>
      </c>
      <c r="H21" s="300">
        <f t="shared" ref="H21" si="27">+I21+J21</f>
        <v>10800</v>
      </c>
      <c r="I21" s="300">
        <v>10800</v>
      </c>
      <c r="J21" s="300"/>
      <c r="K21" s="342">
        <f t="shared" ref="K21" si="28">+L21+M21</f>
        <v>69307</v>
      </c>
      <c r="L21" s="298">
        <f t="shared" si="23"/>
        <v>69087</v>
      </c>
      <c r="M21" s="326">
        <f t="shared" si="24"/>
        <v>220</v>
      </c>
      <c r="N21" s="295"/>
      <c r="O21" s="295"/>
    </row>
    <row r="22" spans="1:15" x14ac:dyDescent="0.2">
      <c r="A22" s="299" t="str">
        <f t="shared" si="13"/>
        <v>2</v>
      </c>
      <c r="B22" s="299" t="str">
        <f t="shared" si="14"/>
        <v>21</v>
      </c>
      <c r="C22" s="299">
        <v>2169</v>
      </c>
      <c r="D22" s="336" t="s">
        <v>146</v>
      </c>
      <c r="E22" s="298">
        <f t="shared" si="25"/>
        <v>1000</v>
      </c>
      <c r="F22" s="300"/>
      <c r="G22" s="300">
        <v>1000</v>
      </c>
      <c r="H22" s="300">
        <f t="shared" si="21"/>
        <v>0</v>
      </c>
      <c r="I22" s="300"/>
      <c r="J22" s="300"/>
      <c r="K22" s="342">
        <f t="shared" si="22"/>
        <v>1000</v>
      </c>
      <c r="L22" s="298">
        <f t="shared" si="23"/>
        <v>0</v>
      </c>
      <c r="M22" s="326">
        <f t="shared" si="24"/>
        <v>1000</v>
      </c>
      <c r="N22" s="295"/>
      <c r="O22" s="295"/>
    </row>
    <row r="23" spans="1:15" x14ac:dyDescent="0.2">
      <c r="A23" s="301" t="s">
        <v>147</v>
      </c>
      <c r="B23" s="301"/>
      <c r="C23" s="302"/>
      <c r="D23" s="332"/>
      <c r="E23" s="303">
        <f t="shared" ref="E23:M23" si="29">SUM(E17:E22)</f>
        <v>101552</v>
      </c>
      <c r="F23" s="303">
        <f t="shared" si="29"/>
        <v>91267</v>
      </c>
      <c r="G23" s="303">
        <f t="shared" si="29"/>
        <v>10285</v>
      </c>
      <c r="H23" s="303">
        <f t="shared" si="29"/>
        <v>13300</v>
      </c>
      <c r="I23" s="303">
        <f t="shared" si="29"/>
        <v>12800</v>
      </c>
      <c r="J23" s="303">
        <f t="shared" si="29"/>
        <v>500</v>
      </c>
      <c r="K23" s="341">
        <f t="shared" si="29"/>
        <v>114852</v>
      </c>
      <c r="L23" s="303">
        <f t="shared" si="29"/>
        <v>104067</v>
      </c>
      <c r="M23" s="304">
        <f t="shared" si="29"/>
        <v>10785</v>
      </c>
      <c r="N23" s="295"/>
      <c r="O23" s="295"/>
    </row>
    <row r="24" spans="1:15" ht="10.5" customHeight="1" x14ac:dyDescent="0.2">
      <c r="A24" s="299"/>
      <c r="B24" s="311"/>
      <c r="C24" s="299"/>
      <c r="D24" s="226"/>
      <c r="E24" s="312"/>
      <c r="F24" s="312"/>
      <c r="G24" s="312"/>
      <c r="H24" s="312"/>
      <c r="I24" s="312"/>
      <c r="J24" s="312"/>
      <c r="K24" s="349"/>
      <c r="L24" s="312"/>
      <c r="M24" s="327"/>
      <c r="N24" s="295"/>
      <c r="O24" s="295"/>
    </row>
    <row r="25" spans="1:15" x14ac:dyDescent="0.2">
      <c r="A25" s="299" t="str">
        <f>MID(C25,1,1)</f>
        <v>2</v>
      </c>
      <c r="B25" s="299" t="str">
        <f>MID(C25,1,2)</f>
        <v>22</v>
      </c>
      <c r="C25" s="299">
        <v>2212</v>
      </c>
      <c r="D25" s="226" t="s">
        <v>215</v>
      </c>
      <c r="E25" s="298">
        <f t="shared" ref="E25:E35" si="30">+F25+G25</f>
        <v>861263</v>
      </c>
      <c r="F25" s="300">
        <v>700465</v>
      </c>
      <c r="G25" s="300">
        <v>160798</v>
      </c>
      <c r="H25" s="300">
        <f t="shared" ref="H25:H35" si="31">+I25+J25</f>
        <v>823181</v>
      </c>
      <c r="I25" s="300">
        <v>805169</v>
      </c>
      <c r="J25" s="300">
        <v>18012</v>
      </c>
      <c r="K25" s="342">
        <f t="shared" ref="K25" si="32">+L25+M25</f>
        <v>1684444</v>
      </c>
      <c r="L25" s="298">
        <f t="shared" ref="L25:L35" si="33">+F25+I25</f>
        <v>1505634</v>
      </c>
      <c r="M25" s="326">
        <f t="shared" ref="M25:M35" si="34">+G25+J25</f>
        <v>178810</v>
      </c>
      <c r="N25" s="295"/>
      <c r="O25" s="295"/>
    </row>
    <row r="26" spans="1:15" x14ac:dyDescent="0.2">
      <c r="A26" s="299">
        <v>2</v>
      </c>
      <c r="B26" s="299">
        <v>22</v>
      </c>
      <c r="C26" s="299">
        <v>2219</v>
      </c>
      <c r="D26" s="226" t="s">
        <v>149</v>
      </c>
      <c r="E26" s="298">
        <f t="shared" si="30"/>
        <v>439328</v>
      </c>
      <c r="F26" s="300">
        <v>278462</v>
      </c>
      <c r="G26" s="300">
        <v>160866</v>
      </c>
      <c r="H26" s="300">
        <f t="shared" si="31"/>
        <v>496107</v>
      </c>
      <c r="I26" s="300">
        <v>457547</v>
      </c>
      <c r="J26" s="300">
        <v>38560</v>
      </c>
      <c r="K26" s="342">
        <f t="shared" ref="K26:K35" si="35">+L26+M26</f>
        <v>935435</v>
      </c>
      <c r="L26" s="298">
        <f t="shared" si="33"/>
        <v>736009</v>
      </c>
      <c r="M26" s="326">
        <f t="shared" si="34"/>
        <v>199426</v>
      </c>
      <c r="N26" s="295"/>
      <c r="O26" s="295"/>
    </row>
    <row r="27" spans="1:15" x14ac:dyDescent="0.2">
      <c r="A27" s="299">
        <v>2</v>
      </c>
      <c r="B27" s="299">
        <v>22</v>
      </c>
      <c r="C27" s="299">
        <v>2221</v>
      </c>
      <c r="D27" s="226" t="s">
        <v>333</v>
      </c>
      <c r="E27" s="298">
        <f t="shared" si="30"/>
        <v>166</v>
      </c>
      <c r="F27" s="300"/>
      <c r="G27" s="300">
        <v>166</v>
      </c>
      <c r="H27" s="298">
        <f>+I27+J27</f>
        <v>285</v>
      </c>
      <c r="I27" s="300"/>
      <c r="J27" s="300">
        <v>285</v>
      </c>
      <c r="K27" s="342">
        <f t="shared" si="35"/>
        <v>451</v>
      </c>
      <c r="L27" s="298">
        <f t="shared" si="33"/>
        <v>0</v>
      </c>
      <c r="M27" s="326">
        <f t="shared" si="34"/>
        <v>451</v>
      </c>
      <c r="N27" s="295"/>
      <c r="O27" s="295"/>
    </row>
    <row r="28" spans="1:15" x14ac:dyDescent="0.2">
      <c r="A28" s="299" t="str">
        <f t="shared" ref="A28:A32" si="36">MID(C28,1,1)</f>
        <v>2</v>
      </c>
      <c r="B28" s="299" t="str">
        <f t="shared" ref="B28:B32" si="37">MID(C28,1,2)</f>
        <v>22</v>
      </c>
      <c r="C28" s="299">
        <v>2223</v>
      </c>
      <c r="D28" s="226" t="s">
        <v>216</v>
      </c>
      <c r="E28" s="298">
        <f t="shared" si="30"/>
        <v>3448</v>
      </c>
      <c r="F28" s="300">
        <v>3100</v>
      </c>
      <c r="G28" s="300">
        <v>348</v>
      </c>
      <c r="H28" s="298">
        <f>+I28+J28</f>
        <v>0</v>
      </c>
      <c r="I28" s="300"/>
      <c r="J28" s="300"/>
      <c r="K28" s="342">
        <f>+L28+M28</f>
        <v>3448</v>
      </c>
      <c r="L28" s="298">
        <f t="shared" si="33"/>
        <v>3100</v>
      </c>
      <c r="M28" s="326">
        <f t="shared" si="34"/>
        <v>348</v>
      </c>
      <c r="N28" s="295"/>
      <c r="O28" s="295"/>
    </row>
    <row r="29" spans="1:15" x14ac:dyDescent="0.2">
      <c r="A29" s="299" t="str">
        <f t="shared" si="36"/>
        <v>2</v>
      </c>
      <c r="B29" s="299" t="str">
        <f t="shared" si="37"/>
        <v>22</v>
      </c>
      <c r="C29" s="299">
        <v>2229</v>
      </c>
      <c r="D29" s="226" t="s">
        <v>217</v>
      </c>
      <c r="E29" s="298">
        <f t="shared" si="30"/>
        <v>15105</v>
      </c>
      <c r="F29" s="300">
        <v>13400</v>
      </c>
      <c r="G29" s="300">
        <v>1705</v>
      </c>
      <c r="H29" s="300">
        <f t="shared" si="31"/>
        <v>35500</v>
      </c>
      <c r="I29" s="300">
        <v>35500</v>
      </c>
      <c r="J29" s="300"/>
      <c r="K29" s="342">
        <f t="shared" ref="K29:K31" si="38">+L29+M29</f>
        <v>50605</v>
      </c>
      <c r="L29" s="298">
        <f t="shared" si="33"/>
        <v>48900</v>
      </c>
      <c r="M29" s="326">
        <f t="shared" si="34"/>
        <v>1705</v>
      </c>
      <c r="N29" s="295"/>
      <c r="O29" s="295"/>
    </row>
    <row r="30" spans="1:15" x14ac:dyDescent="0.2">
      <c r="A30" s="299" t="str">
        <f t="shared" si="36"/>
        <v>2</v>
      </c>
      <c r="B30" s="299" t="str">
        <f t="shared" si="37"/>
        <v>22</v>
      </c>
      <c r="C30" s="299">
        <v>2271</v>
      </c>
      <c r="D30" s="226" t="s">
        <v>218</v>
      </c>
      <c r="E30" s="298">
        <f t="shared" si="30"/>
        <v>56875</v>
      </c>
      <c r="F30" s="300">
        <v>56875</v>
      </c>
      <c r="G30" s="300"/>
      <c r="H30" s="300">
        <f t="shared" si="31"/>
        <v>370500</v>
      </c>
      <c r="I30" s="300">
        <v>370500</v>
      </c>
      <c r="J30" s="300"/>
      <c r="K30" s="342">
        <f t="shared" si="38"/>
        <v>427375</v>
      </c>
      <c r="L30" s="298">
        <f t="shared" si="33"/>
        <v>427375</v>
      </c>
      <c r="M30" s="326">
        <f t="shared" si="34"/>
        <v>0</v>
      </c>
      <c r="N30" s="295"/>
      <c r="O30" s="295"/>
    </row>
    <row r="31" spans="1:15" x14ac:dyDescent="0.2">
      <c r="A31" s="299" t="str">
        <f t="shared" si="36"/>
        <v>2</v>
      </c>
      <c r="B31" s="299" t="str">
        <f t="shared" si="37"/>
        <v>22</v>
      </c>
      <c r="C31" s="299">
        <v>2291</v>
      </c>
      <c r="D31" s="226" t="s">
        <v>434</v>
      </c>
      <c r="E31" s="298">
        <f t="shared" si="30"/>
        <v>385</v>
      </c>
      <c r="F31" s="300">
        <v>385</v>
      </c>
      <c r="G31" s="300"/>
      <c r="H31" s="300"/>
      <c r="I31" s="300"/>
      <c r="J31" s="300"/>
      <c r="K31" s="342">
        <f t="shared" si="38"/>
        <v>385</v>
      </c>
      <c r="L31" s="298">
        <f t="shared" si="33"/>
        <v>385</v>
      </c>
      <c r="M31" s="326"/>
      <c r="N31" s="295"/>
      <c r="O31" s="295"/>
    </row>
    <row r="32" spans="1:15" x14ac:dyDescent="0.2">
      <c r="A32" s="299" t="str">
        <f t="shared" si="36"/>
        <v>2</v>
      </c>
      <c r="B32" s="299" t="str">
        <f t="shared" si="37"/>
        <v>22</v>
      </c>
      <c r="C32" s="299">
        <v>2292</v>
      </c>
      <c r="D32" s="226" t="s">
        <v>328</v>
      </c>
      <c r="E32" s="298">
        <f t="shared" si="30"/>
        <v>908478</v>
      </c>
      <c r="F32" s="300">
        <v>908478</v>
      </c>
      <c r="G32" s="300"/>
      <c r="H32" s="300">
        <f t="shared" si="31"/>
        <v>0</v>
      </c>
      <c r="I32" s="300"/>
      <c r="J32" s="300"/>
      <c r="K32" s="342">
        <f t="shared" si="35"/>
        <v>908478</v>
      </c>
      <c r="L32" s="298">
        <f t="shared" si="33"/>
        <v>908478</v>
      </c>
      <c r="M32" s="326">
        <f t="shared" si="34"/>
        <v>0</v>
      </c>
      <c r="N32" s="295"/>
      <c r="O32" s="295"/>
    </row>
    <row r="33" spans="1:15" x14ac:dyDescent="0.2">
      <c r="A33" s="299" t="str">
        <f t="shared" ref="A33:A34" si="39">MID(C33,1,1)</f>
        <v>2</v>
      </c>
      <c r="B33" s="299" t="str">
        <f t="shared" ref="B33:B34" si="40">MID(C33,1,2)</f>
        <v>22</v>
      </c>
      <c r="C33" s="299">
        <v>2293</v>
      </c>
      <c r="D33" s="226" t="s">
        <v>351</v>
      </c>
      <c r="E33" s="298">
        <f t="shared" ref="E33:E34" si="41">+F33+G33</f>
        <v>19485</v>
      </c>
      <c r="F33" s="300">
        <v>19485</v>
      </c>
      <c r="G33" s="300"/>
      <c r="H33" s="300">
        <f t="shared" ref="H33:H34" si="42">+I33+J33</f>
        <v>0</v>
      </c>
      <c r="I33" s="300"/>
      <c r="J33" s="300"/>
      <c r="K33" s="342">
        <f t="shared" ref="K33:K34" si="43">+L33+M33</f>
        <v>19485</v>
      </c>
      <c r="L33" s="298">
        <f t="shared" si="33"/>
        <v>19485</v>
      </c>
      <c r="M33" s="326">
        <f t="shared" si="34"/>
        <v>0</v>
      </c>
      <c r="N33" s="295"/>
      <c r="O33" s="295"/>
    </row>
    <row r="34" spans="1:15" x14ac:dyDescent="0.2">
      <c r="A34" s="299" t="str">
        <f t="shared" si="39"/>
        <v>2</v>
      </c>
      <c r="B34" s="299" t="str">
        <f t="shared" si="40"/>
        <v>22</v>
      </c>
      <c r="C34" s="299">
        <v>2294</v>
      </c>
      <c r="D34" s="226" t="s">
        <v>352</v>
      </c>
      <c r="E34" s="298">
        <f t="shared" si="41"/>
        <v>1780037</v>
      </c>
      <c r="F34" s="300">
        <v>1780037</v>
      </c>
      <c r="G34" s="300"/>
      <c r="H34" s="300">
        <f t="shared" si="42"/>
        <v>0</v>
      </c>
      <c r="I34" s="300"/>
      <c r="J34" s="300"/>
      <c r="K34" s="342">
        <f t="shared" si="43"/>
        <v>1780037</v>
      </c>
      <c r="L34" s="298">
        <f t="shared" si="33"/>
        <v>1780037</v>
      </c>
      <c r="M34" s="326">
        <f t="shared" si="34"/>
        <v>0</v>
      </c>
      <c r="N34" s="295"/>
      <c r="O34" s="295"/>
    </row>
    <row r="35" spans="1:15" x14ac:dyDescent="0.2">
      <c r="A35" s="299">
        <v>2</v>
      </c>
      <c r="B35" s="299">
        <v>22</v>
      </c>
      <c r="C35" s="299">
        <v>2299</v>
      </c>
      <c r="D35" s="226" t="s">
        <v>219</v>
      </c>
      <c r="E35" s="298">
        <f t="shared" si="30"/>
        <v>32897</v>
      </c>
      <c r="F35" s="300">
        <v>32897</v>
      </c>
      <c r="G35" s="300"/>
      <c r="H35" s="300">
        <f t="shared" si="31"/>
        <v>0</v>
      </c>
      <c r="I35" s="300"/>
      <c r="J35" s="300"/>
      <c r="K35" s="342">
        <f t="shared" si="35"/>
        <v>32897</v>
      </c>
      <c r="L35" s="298">
        <f t="shared" si="33"/>
        <v>32897</v>
      </c>
      <c r="M35" s="326">
        <f t="shared" si="34"/>
        <v>0</v>
      </c>
      <c r="N35" s="295"/>
      <c r="O35" s="295"/>
    </row>
    <row r="36" spans="1:15" x14ac:dyDescent="0.2">
      <c r="A36" s="301" t="s">
        <v>150</v>
      </c>
      <c r="B36" s="301"/>
      <c r="C36" s="302"/>
      <c r="D36" s="332"/>
      <c r="E36" s="303">
        <f t="shared" ref="E36:M36" si="44">SUM(E25:E35)</f>
        <v>4117467</v>
      </c>
      <c r="F36" s="303">
        <f t="shared" si="44"/>
        <v>3793584</v>
      </c>
      <c r="G36" s="303">
        <f t="shared" si="44"/>
        <v>323883</v>
      </c>
      <c r="H36" s="303">
        <f t="shared" si="44"/>
        <v>1725573</v>
      </c>
      <c r="I36" s="303">
        <f t="shared" si="44"/>
        <v>1668716</v>
      </c>
      <c r="J36" s="303">
        <f t="shared" si="44"/>
        <v>56857</v>
      </c>
      <c r="K36" s="341">
        <f t="shared" si="44"/>
        <v>5843040</v>
      </c>
      <c r="L36" s="303">
        <f t="shared" si="44"/>
        <v>5462300</v>
      </c>
      <c r="M36" s="304">
        <f t="shared" si="44"/>
        <v>380740</v>
      </c>
      <c r="N36" s="295"/>
      <c r="O36" s="295"/>
    </row>
    <row r="37" spans="1:15" ht="10.5" customHeight="1" x14ac:dyDescent="0.2">
      <c r="A37" s="299"/>
      <c r="B37" s="311"/>
      <c r="C37" s="299"/>
      <c r="D37" s="226"/>
      <c r="E37" s="312"/>
      <c r="F37" s="312"/>
      <c r="G37" s="312"/>
      <c r="H37" s="312"/>
      <c r="I37" s="312"/>
      <c r="J37" s="312"/>
      <c r="K37" s="349"/>
      <c r="L37" s="312"/>
      <c r="M37" s="327"/>
      <c r="N37" s="295"/>
      <c r="O37" s="295"/>
    </row>
    <row r="38" spans="1:15" x14ac:dyDescent="0.2">
      <c r="A38" s="299" t="str">
        <f>MID(C38,1,1)</f>
        <v>2</v>
      </c>
      <c r="B38" s="299" t="str">
        <f t="shared" ref="B38:B43" si="45">MID(C38,1,2)</f>
        <v>23</v>
      </c>
      <c r="C38" s="299">
        <v>2310</v>
      </c>
      <c r="D38" s="226" t="s">
        <v>220</v>
      </c>
      <c r="E38" s="298">
        <f t="shared" ref="E38:E42" si="46">+F38+G38</f>
        <v>878</v>
      </c>
      <c r="F38" s="300">
        <v>856</v>
      </c>
      <c r="G38" s="300">
        <v>22</v>
      </c>
      <c r="H38" s="300">
        <f t="shared" ref="H38:H43" si="47">+I38+J38</f>
        <v>128300</v>
      </c>
      <c r="I38" s="300">
        <v>128000</v>
      </c>
      <c r="J38" s="300">
        <v>300</v>
      </c>
      <c r="K38" s="342">
        <f t="shared" ref="K38" si="48">+L38+M38</f>
        <v>129178</v>
      </c>
      <c r="L38" s="298">
        <f t="shared" ref="L38:L43" si="49">+F38+I38</f>
        <v>128856</v>
      </c>
      <c r="M38" s="326">
        <f t="shared" ref="M38:M43" si="50">+G38+J38</f>
        <v>322</v>
      </c>
      <c r="N38" s="295"/>
      <c r="O38" s="295"/>
    </row>
    <row r="39" spans="1:15" x14ac:dyDescent="0.2">
      <c r="A39" s="299" t="str">
        <f>MID(C39,1,1)</f>
        <v>2</v>
      </c>
      <c r="B39" s="299" t="str">
        <f t="shared" si="45"/>
        <v>23</v>
      </c>
      <c r="C39" s="299">
        <v>2321</v>
      </c>
      <c r="D39" s="226" t="s">
        <v>221</v>
      </c>
      <c r="E39" s="298">
        <f t="shared" si="46"/>
        <v>960</v>
      </c>
      <c r="F39" s="300">
        <v>100</v>
      </c>
      <c r="G39" s="300">
        <v>860</v>
      </c>
      <c r="H39" s="300">
        <f t="shared" si="47"/>
        <v>843792</v>
      </c>
      <c r="I39" s="300">
        <v>840252</v>
      </c>
      <c r="J39" s="300">
        <v>3540</v>
      </c>
      <c r="K39" s="342">
        <f t="shared" ref="K39:K43" si="51">+L39+M39</f>
        <v>844752</v>
      </c>
      <c r="L39" s="298">
        <f t="shared" si="49"/>
        <v>840352</v>
      </c>
      <c r="M39" s="326">
        <f t="shared" si="50"/>
        <v>4400</v>
      </c>
      <c r="N39" s="295"/>
      <c r="O39" s="295"/>
    </row>
    <row r="40" spans="1:15" x14ac:dyDescent="0.2">
      <c r="A40" s="299">
        <v>2</v>
      </c>
      <c r="B40" s="299" t="str">
        <f t="shared" si="45"/>
        <v>23</v>
      </c>
      <c r="C40" s="299">
        <v>2329</v>
      </c>
      <c r="D40" s="226" t="s">
        <v>222</v>
      </c>
      <c r="E40" s="298">
        <f>+F40+G40</f>
        <v>1000</v>
      </c>
      <c r="F40" s="300">
        <v>1000</v>
      </c>
      <c r="G40" s="300"/>
      <c r="H40" s="300">
        <f t="shared" si="47"/>
        <v>9289</v>
      </c>
      <c r="I40" s="300">
        <v>9289</v>
      </c>
      <c r="J40" s="300"/>
      <c r="K40" s="342">
        <f t="shared" si="51"/>
        <v>10289</v>
      </c>
      <c r="L40" s="298">
        <f t="shared" si="49"/>
        <v>10289</v>
      </c>
      <c r="M40" s="326">
        <f t="shared" si="50"/>
        <v>0</v>
      </c>
      <c r="N40" s="295"/>
      <c r="O40" s="295"/>
    </row>
    <row r="41" spans="1:15" x14ac:dyDescent="0.2">
      <c r="A41" s="299">
        <v>2</v>
      </c>
      <c r="B41" s="299" t="str">
        <f t="shared" si="45"/>
        <v>23</v>
      </c>
      <c r="C41" s="299">
        <v>2331</v>
      </c>
      <c r="D41" s="226" t="s">
        <v>415</v>
      </c>
      <c r="E41" s="298">
        <f t="shared" si="46"/>
        <v>8000</v>
      </c>
      <c r="F41" s="300">
        <v>8000</v>
      </c>
      <c r="G41" s="300"/>
      <c r="H41" s="300">
        <f t="shared" si="47"/>
        <v>0</v>
      </c>
      <c r="I41" s="300"/>
      <c r="J41" s="300"/>
      <c r="K41" s="342">
        <f t="shared" si="51"/>
        <v>8000</v>
      </c>
      <c r="L41" s="298">
        <f t="shared" si="49"/>
        <v>8000</v>
      </c>
      <c r="M41" s="326">
        <f t="shared" si="50"/>
        <v>0</v>
      </c>
      <c r="N41" s="295"/>
      <c r="O41" s="295"/>
    </row>
    <row r="42" spans="1:15" x14ac:dyDescent="0.2">
      <c r="A42" s="299" t="str">
        <f>MID(C42,1,1)</f>
        <v>2</v>
      </c>
      <c r="B42" s="299" t="str">
        <f t="shared" si="45"/>
        <v>23</v>
      </c>
      <c r="C42" s="299">
        <v>2333</v>
      </c>
      <c r="D42" s="226" t="s">
        <v>223</v>
      </c>
      <c r="E42" s="298">
        <f t="shared" si="46"/>
        <v>5056</v>
      </c>
      <c r="F42" s="300">
        <v>4536</v>
      </c>
      <c r="G42" s="300">
        <v>520</v>
      </c>
      <c r="H42" s="300">
        <f t="shared" si="47"/>
        <v>100</v>
      </c>
      <c r="I42" s="300"/>
      <c r="J42" s="300">
        <v>100</v>
      </c>
      <c r="K42" s="342">
        <f t="shared" si="51"/>
        <v>5156</v>
      </c>
      <c r="L42" s="298">
        <f t="shared" si="49"/>
        <v>4536</v>
      </c>
      <c r="M42" s="326">
        <f t="shared" si="50"/>
        <v>620</v>
      </c>
      <c r="N42" s="295"/>
      <c r="O42" s="295"/>
    </row>
    <row r="43" spans="1:15" x14ac:dyDescent="0.2">
      <c r="A43" s="299">
        <v>2</v>
      </c>
      <c r="B43" s="299" t="str">
        <f t="shared" si="45"/>
        <v>23</v>
      </c>
      <c r="C43" s="299">
        <v>2341</v>
      </c>
      <c r="D43" s="226" t="s">
        <v>332</v>
      </c>
      <c r="E43" s="298">
        <f>+F43+G43</f>
        <v>100</v>
      </c>
      <c r="F43" s="300"/>
      <c r="G43" s="300">
        <v>100</v>
      </c>
      <c r="H43" s="300">
        <f t="shared" si="47"/>
        <v>1300</v>
      </c>
      <c r="I43" s="300"/>
      <c r="J43" s="300">
        <v>1300</v>
      </c>
      <c r="K43" s="342">
        <f t="shared" si="51"/>
        <v>1400</v>
      </c>
      <c r="L43" s="298">
        <f t="shared" si="49"/>
        <v>0</v>
      </c>
      <c r="M43" s="326">
        <f t="shared" si="50"/>
        <v>1400</v>
      </c>
      <c r="N43" s="295"/>
      <c r="O43" s="295"/>
    </row>
    <row r="44" spans="1:15" x14ac:dyDescent="0.2">
      <c r="A44" s="301" t="s">
        <v>152</v>
      </c>
      <c r="B44" s="301"/>
      <c r="C44" s="302"/>
      <c r="D44" s="332"/>
      <c r="E44" s="341">
        <f t="shared" ref="E44:M44" si="52">SUM(E38:E43)</f>
        <v>15994</v>
      </c>
      <c r="F44" s="303">
        <f t="shared" si="52"/>
        <v>14492</v>
      </c>
      <c r="G44" s="304">
        <f t="shared" si="52"/>
        <v>1502</v>
      </c>
      <c r="H44" s="303">
        <f t="shared" si="52"/>
        <v>982781</v>
      </c>
      <c r="I44" s="303">
        <f t="shared" si="52"/>
        <v>977541</v>
      </c>
      <c r="J44" s="303">
        <f t="shared" si="52"/>
        <v>5240</v>
      </c>
      <c r="K44" s="341">
        <f t="shared" si="52"/>
        <v>998775</v>
      </c>
      <c r="L44" s="303">
        <f t="shared" si="52"/>
        <v>992033</v>
      </c>
      <c r="M44" s="303">
        <f t="shared" si="52"/>
        <v>6742</v>
      </c>
      <c r="N44" s="295"/>
      <c r="O44" s="295"/>
    </row>
    <row r="45" spans="1:15" ht="8.25" customHeight="1" x14ac:dyDescent="0.2">
      <c r="A45" s="315"/>
      <c r="B45" s="315"/>
      <c r="C45" s="316"/>
      <c r="D45" s="339"/>
      <c r="E45" s="353"/>
      <c r="F45" s="317"/>
      <c r="G45" s="354"/>
      <c r="H45" s="317"/>
      <c r="I45" s="317"/>
      <c r="J45" s="317"/>
      <c r="K45" s="353"/>
      <c r="L45" s="317"/>
      <c r="M45" s="354"/>
      <c r="N45" s="295"/>
      <c r="O45" s="295"/>
    </row>
    <row r="46" spans="1:15" x14ac:dyDescent="0.2">
      <c r="A46" s="299">
        <v>2</v>
      </c>
      <c r="B46" s="299" t="str">
        <f>MID(C46,1,2)</f>
        <v>24</v>
      </c>
      <c r="C46" s="299">
        <v>2419</v>
      </c>
      <c r="D46" s="226" t="s">
        <v>315</v>
      </c>
      <c r="E46" s="300">
        <f>+F46+G46</f>
        <v>15</v>
      </c>
      <c r="F46" s="300"/>
      <c r="G46" s="300">
        <v>15</v>
      </c>
      <c r="H46" s="300">
        <f t="shared" ref="H46" si="53">+I46+J46</f>
        <v>0</v>
      </c>
      <c r="I46" s="300"/>
      <c r="J46" s="300"/>
      <c r="K46" s="352">
        <f t="shared" ref="K46" si="54">+L46+M46</f>
        <v>15</v>
      </c>
      <c r="L46" s="300">
        <f t="shared" ref="L46" si="55">+F46+I46</f>
        <v>0</v>
      </c>
      <c r="M46" s="328">
        <f t="shared" ref="M46" si="56">+G46+J46</f>
        <v>15</v>
      </c>
      <c r="N46" s="295"/>
      <c r="O46" s="295"/>
    </row>
    <row r="47" spans="1:15" x14ac:dyDescent="0.2">
      <c r="A47" s="301" t="s">
        <v>314</v>
      </c>
      <c r="B47" s="301"/>
      <c r="C47" s="302"/>
      <c r="D47" s="332"/>
      <c r="E47" s="303">
        <f>SUM(E46:E46)</f>
        <v>15</v>
      </c>
      <c r="F47" s="303">
        <f t="shared" ref="F47:M47" si="57">SUM(F46:F46)</f>
        <v>0</v>
      </c>
      <c r="G47" s="303">
        <f t="shared" si="57"/>
        <v>15</v>
      </c>
      <c r="H47" s="303">
        <f t="shared" si="57"/>
        <v>0</v>
      </c>
      <c r="I47" s="303">
        <f t="shared" si="57"/>
        <v>0</v>
      </c>
      <c r="J47" s="303">
        <f t="shared" si="57"/>
        <v>0</v>
      </c>
      <c r="K47" s="341">
        <f t="shared" si="57"/>
        <v>15</v>
      </c>
      <c r="L47" s="303">
        <f t="shared" si="57"/>
        <v>0</v>
      </c>
      <c r="M47" s="304">
        <f t="shared" si="57"/>
        <v>15</v>
      </c>
      <c r="N47" s="295"/>
      <c r="O47" s="295"/>
    </row>
    <row r="48" spans="1:15" ht="10.5" customHeight="1" thickBot="1" x14ac:dyDescent="0.25">
      <c r="A48" s="306"/>
      <c r="B48" s="305"/>
      <c r="C48" s="306"/>
      <c r="D48" s="333"/>
      <c r="E48" s="307"/>
      <c r="F48" s="307"/>
      <c r="G48" s="307"/>
      <c r="H48" s="307"/>
      <c r="I48" s="307"/>
      <c r="J48" s="307"/>
      <c r="K48" s="343"/>
      <c r="L48" s="307"/>
      <c r="M48" s="344"/>
      <c r="N48" s="295"/>
      <c r="O48" s="295"/>
    </row>
    <row r="49" spans="1:15" ht="14.25" thickTop="1" thickBot="1" x14ac:dyDescent="0.25">
      <c r="A49" s="337" t="s">
        <v>153</v>
      </c>
      <c r="B49" s="313"/>
      <c r="C49" s="313"/>
      <c r="D49" s="338"/>
      <c r="E49" s="314">
        <f t="shared" ref="E49:M49" si="58">+E23+E36+E44+E47</f>
        <v>4235028</v>
      </c>
      <c r="F49" s="314">
        <f t="shared" si="58"/>
        <v>3899343</v>
      </c>
      <c r="G49" s="314">
        <f t="shared" si="58"/>
        <v>335685</v>
      </c>
      <c r="H49" s="314">
        <f t="shared" si="58"/>
        <v>2721654</v>
      </c>
      <c r="I49" s="314">
        <f t="shared" si="58"/>
        <v>2659057</v>
      </c>
      <c r="J49" s="314">
        <f t="shared" si="58"/>
        <v>62597</v>
      </c>
      <c r="K49" s="350">
        <f t="shared" si="58"/>
        <v>6956682</v>
      </c>
      <c r="L49" s="314">
        <f t="shared" si="58"/>
        <v>6558400</v>
      </c>
      <c r="M49" s="351">
        <f t="shared" si="58"/>
        <v>398282</v>
      </c>
      <c r="N49" s="295"/>
      <c r="O49" s="295"/>
    </row>
    <row r="50" spans="1:15" ht="13.5" thickTop="1" x14ac:dyDescent="0.2">
      <c r="A50" s="335"/>
      <c r="B50" s="297"/>
      <c r="C50" s="297"/>
      <c r="D50" s="331"/>
      <c r="E50" s="310"/>
      <c r="F50" s="310"/>
      <c r="G50" s="310"/>
      <c r="H50" s="310"/>
      <c r="I50" s="310"/>
      <c r="J50" s="310"/>
      <c r="K50" s="347"/>
      <c r="L50" s="310"/>
      <c r="M50" s="348"/>
      <c r="N50" s="295"/>
      <c r="O50" s="295"/>
    </row>
    <row r="51" spans="1:15" x14ac:dyDescent="0.2">
      <c r="A51" s="297">
        <v>3</v>
      </c>
      <c r="B51" s="297">
        <v>31</v>
      </c>
      <c r="C51" s="297">
        <v>3111</v>
      </c>
      <c r="D51" s="331" t="s">
        <v>154</v>
      </c>
      <c r="E51" s="298">
        <f t="shared" ref="E51:E61" si="59">+F51+G51</f>
        <v>193990</v>
      </c>
      <c r="F51" s="298">
        <v>5317</v>
      </c>
      <c r="G51" s="298">
        <v>188673</v>
      </c>
      <c r="H51" s="300">
        <f t="shared" ref="H51:H61" si="60">+I51+J51</f>
        <v>147773</v>
      </c>
      <c r="I51" s="298">
        <v>32335</v>
      </c>
      <c r="J51" s="298">
        <v>115438</v>
      </c>
      <c r="K51" s="342">
        <f t="shared" ref="K51" si="61">+L51+M51</f>
        <v>341763</v>
      </c>
      <c r="L51" s="298">
        <f t="shared" ref="L51:L60" si="62">+F51+I51</f>
        <v>37652</v>
      </c>
      <c r="M51" s="326">
        <f t="shared" ref="M51:M60" si="63">+G51+J51</f>
        <v>304111</v>
      </c>
      <c r="N51" s="295"/>
      <c r="O51" s="295"/>
    </row>
    <row r="52" spans="1:15" x14ac:dyDescent="0.2">
      <c r="A52" s="299" t="str">
        <f>MID(C52,1,1)</f>
        <v>3</v>
      </c>
      <c r="B52" s="299" t="str">
        <f>MID(C52,1,2)</f>
        <v>31</v>
      </c>
      <c r="C52" s="299">
        <v>3113</v>
      </c>
      <c r="D52" s="226" t="s">
        <v>224</v>
      </c>
      <c r="E52" s="298">
        <f t="shared" si="59"/>
        <v>509532</v>
      </c>
      <c r="F52" s="300">
        <v>38117</v>
      </c>
      <c r="G52" s="300">
        <v>471415</v>
      </c>
      <c r="H52" s="300">
        <f t="shared" si="60"/>
        <v>250188</v>
      </c>
      <c r="I52" s="300">
        <v>51050</v>
      </c>
      <c r="J52" s="300">
        <v>199138</v>
      </c>
      <c r="K52" s="342">
        <f t="shared" ref="K52:K61" si="64">+L52+M52</f>
        <v>759720</v>
      </c>
      <c r="L52" s="298">
        <f t="shared" si="62"/>
        <v>89167</v>
      </c>
      <c r="M52" s="326">
        <f t="shared" si="63"/>
        <v>670553</v>
      </c>
      <c r="N52" s="295"/>
      <c r="O52" s="295"/>
    </row>
    <row r="53" spans="1:15" x14ac:dyDescent="0.2">
      <c r="A53" s="299">
        <v>3</v>
      </c>
      <c r="B53" s="299">
        <v>31</v>
      </c>
      <c r="C53" s="299">
        <v>3114</v>
      </c>
      <c r="D53" s="226" t="s">
        <v>416</v>
      </c>
      <c r="E53" s="298">
        <f t="shared" si="59"/>
        <v>5</v>
      </c>
      <c r="F53" s="300"/>
      <c r="G53" s="300">
        <v>5</v>
      </c>
      <c r="H53" s="300">
        <f t="shared" si="60"/>
        <v>0</v>
      </c>
      <c r="I53" s="300"/>
      <c r="J53" s="300"/>
      <c r="K53" s="342">
        <f>+L53+M53</f>
        <v>5</v>
      </c>
      <c r="L53" s="298">
        <f t="shared" si="62"/>
        <v>0</v>
      </c>
      <c r="M53" s="326">
        <f t="shared" si="63"/>
        <v>5</v>
      </c>
      <c r="N53" s="295"/>
      <c r="O53" s="295"/>
    </row>
    <row r="54" spans="1:15" x14ac:dyDescent="0.2">
      <c r="A54" s="299">
        <v>3</v>
      </c>
      <c r="B54" s="299">
        <v>31</v>
      </c>
      <c r="C54" s="299">
        <v>3117</v>
      </c>
      <c r="D54" s="226" t="s">
        <v>225</v>
      </c>
      <c r="E54" s="298">
        <f t="shared" si="59"/>
        <v>164</v>
      </c>
      <c r="F54" s="300">
        <v>164</v>
      </c>
      <c r="G54" s="300"/>
      <c r="H54" s="300">
        <f t="shared" si="60"/>
        <v>0</v>
      </c>
      <c r="I54" s="300"/>
      <c r="J54" s="300"/>
      <c r="K54" s="342">
        <f t="shared" si="64"/>
        <v>164</v>
      </c>
      <c r="L54" s="298">
        <f t="shared" si="62"/>
        <v>164</v>
      </c>
      <c r="M54" s="326">
        <f t="shared" si="63"/>
        <v>0</v>
      </c>
      <c r="N54" s="295"/>
      <c r="O54" s="295"/>
    </row>
    <row r="55" spans="1:15" x14ac:dyDescent="0.2">
      <c r="A55" s="299">
        <v>3</v>
      </c>
      <c r="B55" s="299">
        <v>31</v>
      </c>
      <c r="C55" s="299">
        <v>3119</v>
      </c>
      <c r="D55" s="226" t="s">
        <v>329</v>
      </c>
      <c r="E55" s="298">
        <f t="shared" si="59"/>
        <v>50</v>
      </c>
      <c r="F55" s="300"/>
      <c r="G55" s="300">
        <v>50</v>
      </c>
      <c r="H55" s="300">
        <f t="shared" si="60"/>
        <v>6000</v>
      </c>
      <c r="I55" s="300">
        <v>6000</v>
      </c>
      <c r="J55" s="300"/>
      <c r="K55" s="342">
        <f t="shared" si="64"/>
        <v>6050</v>
      </c>
      <c r="L55" s="298">
        <f t="shared" si="62"/>
        <v>6000</v>
      </c>
      <c r="M55" s="326">
        <f t="shared" si="63"/>
        <v>50</v>
      </c>
      <c r="N55" s="295"/>
      <c r="O55" s="295"/>
    </row>
    <row r="56" spans="1:15" x14ac:dyDescent="0.2">
      <c r="A56" s="299">
        <v>3</v>
      </c>
      <c r="B56" s="299">
        <v>31</v>
      </c>
      <c r="C56" s="299">
        <v>3121</v>
      </c>
      <c r="D56" s="226" t="s">
        <v>463</v>
      </c>
      <c r="E56" s="298">
        <f t="shared" si="59"/>
        <v>375</v>
      </c>
      <c r="F56" s="300"/>
      <c r="G56" s="300">
        <v>375</v>
      </c>
      <c r="H56" s="300"/>
      <c r="I56" s="300"/>
      <c r="J56" s="300"/>
      <c r="K56" s="342">
        <f t="shared" si="64"/>
        <v>375</v>
      </c>
      <c r="L56" s="298"/>
      <c r="M56" s="326">
        <f t="shared" si="63"/>
        <v>375</v>
      </c>
      <c r="N56" s="295"/>
      <c r="O56" s="295"/>
    </row>
    <row r="57" spans="1:15" x14ac:dyDescent="0.2">
      <c r="A57" s="299">
        <v>3</v>
      </c>
      <c r="B57" s="299">
        <v>31</v>
      </c>
      <c r="C57" s="299">
        <v>3122</v>
      </c>
      <c r="D57" s="226" t="s">
        <v>394</v>
      </c>
      <c r="E57" s="298">
        <f t="shared" ref="E57" si="65">+F57+G57</f>
        <v>10221</v>
      </c>
      <c r="F57" s="300">
        <v>10221</v>
      </c>
      <c r="G57" s="300"/>
      <c r="H57" s="300">
        <f t="shared" ref="H57" si="66">+I57+J57</f>
        <v>2220</v>
      </c>
      <c r="I57" s="300">
        <v>2220</v>
      </c>
      <c r="J57" s="300"/>
      <c r="K57" s="342">
        <f t="shared" ref="K57" si="67">+L57+M57</f>
        <v>12441</v>
      </c>
      <c r="L57" s="298">
        <f t="shared" si="62"/>
        <v>12441</v>
      </c>
      <c r="M57" s="326">
        <f t="shared" si="63"/>
        <v>0</v>
      </c>
      <c r="N57" s="295"/>
      <c r="O57" s="295"/>
    </row>
    <row r="58" spans="1:15" x14ac:dyDescent="0.2">
      <c r="A58" s="299">
        <v>3</v>
      </c>
      <c r="B58" s="299">
        <v>31</v>
      </c>
      <c r="C58" s="299">
        <v>3123</v>
      </c>
      <c r="D58" s="226" t="s">
        <v>326</v>
      </c>
      <c r="E58" s="298">
        <f t="shared" ref="E58" si="68">+F58+G58</f>
        <v>0</v>
      </c>
      <c r="F58" s="300"/>
      <c r="G58" s="300"/>
      <c r="H58" s="300">
        <f t="shared" ref="H58" si="69">+I58+J58</f>
        <v>1</v>
      </c>
      <c r="I58" s="300"/>
      <c r="J58" s="300">
        <v>1</v>
      </c>
      <c r="K58" s="342">
        <f t="shared" ref="K58" si="70">+L58+M58</f>
        <v>1</v>
      </c>
      <c r="L58" s="298">
        <f t="shared" si="62"/>
        <v>0</v>
      </c>
      <c r="M58" s="326">
        <f t="shared" si="63"/>
        <v>1</v>
      </c>
      <c r="N58" s="295"/>
      <c r="O58" s="295"/>
    </row>
    <row r="59" spans="1:15" x14ac:dyDescent="0.2">
      <c r="A59" s="299">
        <v>3</v>
      </c>
      <c r="B59" s="299">
        <v>31</v>
      </c>
      <c r="C59" s="299">
        <v>3133</v>
      </c>
      <c r="D59" s="226" t="s">
        <v>226</v>
      </c>
      <c r="E59" s="298">
        <f t="shared" si="59"/>
        <v>5</v>
      </c>
      <c r="F59" s="300"/>
      <c r="G59" s="300">
        <v>5</v>
      </c>
      <c r="H59" s="298">
        <f>+I59+J59</f>
        <v>0</v>
      </c>
      <c r="I59" s="300"/>
      <c r="J59" s="300"/>
      <c r="K59" s="342">
        <f t="shared" si="64"/>
        <v>5</v>
      </c>
      <c r="L59" s="298">
        <f t="shared" si="62"/>
        <v>0</v>
      </c>
      <c r="M59" s="326">
        <f t="shared" si="63"/>
        <v>5</v>
      </c>
      <c r="N59" s="295"/>
      <c r="O59" s="295"/>
    </row>
    <row r="60" spans="1:15" x14ac:dyDescent="0.2">
      <c r="A60" s="299">
        <v>3</v>
      </c>
      <c r="B60" s="299">
        <v>31</v>
      </c>
      <c r="C60" s="299">
        <v>3141</v>
      </c>
      <c r="D60" s="226" t="s">
        <v>227</v>
      </c>
      <c r="E60" s="298">
        <f t="shared" si="59"/>
        <v>20963</v>
      </c>
      <c r="F60" s="300"/>
      <c r="G60" s="300">
        <v>20963</v>
      </c>
      <c r="H60" s="300">
        <f t="shared" si="60"/>
        <v>1700</v>
      </c>
      <c r="I60" s="300"/>
      <c r="J60" s="300">
        <v>1700</v>
      </c>
      <c r="K60" s="342">
        <f t="shared" si="64"/>
        <v>22663</v>
      </c>
      <c r="L60" s="298">
        <f t="shared" si="62"/>
        <v>0</v>
      </c>
      <c r="M60" s="326">
        <f t="shared" si="63"/>
        <v>22663</v>
      </c>
      <c r="N60" s="295"/>
      <c r="O60" s="295"/>
    </row>
    <row r="61" spans="1:15" x14ac:dyDescent="0.2">
      <c r="A61" s="299" t="str">
        <f>MID(C61,1,1)</f>
        <v>3</v>
      </c>
      <c r="B61" s="299" t="str">
        <f>MID(C61,1,2)</f>
        <v>31</v>
      </c>
      <c r="C61" s="299">
        <v>3149</v>
      </c>
      <c r="D61" s="226" t="s">
        <v>228</v>
      </c>
      <c r="E61" s="298">
        <f t="shared" si="59"/>
        <v>4960</v>
      </c>
      <c r="F61" s="300">
        <v>4960</v>
      </c>
      <c r="G61" s="300"/>
      <c r="H61" s="300">
        <f t="shared" si="60"/>
        <v>0</v>
      </c>
      <c r="I61" s="300"/>
      <c r="J61" s="300"/>
      <c r="K61" s="342">
        <f t="shared" si="64"/>
        <v>4960</v>
      </c>
      <c r="L61" s="298">
        <f t="shared" ref="L61" si="71">+F61+I61</f>
        <v>4960</v>
      </c>
      <c r="M61" s="326">
        <f t="shared" ref="M61" si="72">+G61+J61</f>
        <v>0</v>
      </c>
      <c r="N61" s="295"/>
      <c r="O61" s="295"/>
    </row>
    <row r="62" spans="1:15" x14ac:dyDescent="0.2">
      <c r="A62" s="301" t="s">
        <v>229</v>
      </c>
      <c r="B62" s="301"/>
      <c r="C62" s="302"/>
      <c r="D62" s="332"/>
      <c r="E62" s="303">
        <f t="shared" ref="E62:M62" si="73">SUM(E51:E61)</f>
        <v>740265</v>
      </c>
      <c r="F62" s="303">
        <f t="shared" si="73"/>
        <v>58779</v>
      </c>
      <c r="G62" s="303">
        <f t="shared" si="73"/>
        <v>681486</v>
      </c>
      <c r="H62" s="303">
        <f t="shared" si="73"/>
        <v>407882</v>
      </c>
      <c r="I62" s="303">
        <f t="shared" si="73"/>
        <v>91605</v>
      </c>
      <c r="J62" s="303">
        <f t="shared" si="73"/>
        <v>316277</v>
      </c>
      <c r="K62" s="341">
        <f t="shared" si="73"/>
        <v>1148147</v>
      </c>
      <c r="L62" s="303">
        <f t="shared" si="73"/>
        <v>150384</v>
      </c>
      <c r="M62" s="304">
        <f t="shared" si="73"/>
        <v>997763</v>
      </c>
      <c r="N62" s="295"/>
      <c r="O62" s="295"/>
    </row>
    <row r="63" spans="1:15" x14ac:dyDescent="0.2">
      <c r="A63" s="311"/>
      <c r="B63" s="311"/>
      <c r="C63" s="299"/>
      <c r="D63" s="226"/>
      <c r="E63" s="312"/>
      <c r="F63" s="312"/>
      <c r="G63" s="312"/>
      <c r="H63" s="312"/>
      <c r="I63" s="312"/>
      <c r="J63" s="312"/>
      <c r="K63" s="349"/>
      <c r="L63" s="312"/>
      <c r="M63" s="327"/>
      <c r="N63" s="295"/>
      <c r="O63" s="295"/>
    </row>
    <row r="64" spans="1:15" x14ac:dyDescent="0.2">
      <c r="A64" s="299" t="str">
        <f>MID(C64,1,1)</f>
        <v>3</v>
      </c>
      <c r="B64" s="299">
        <v>32</v>
      </c>
      <c r="C64" s="299">
        <v>3231</v>
      </c>
      <c r="D64" s="226" t="s">
        <v>230</v>
      </c>
      <c r="E64" s="298">
        <f>+F64+G64</f>
        <v>616</v>
      </c>
      <c r="F64" s="300"/>
      <c r="G64" s="300">
        <v>616</v>
      </c>
      <c r="H64" s="300">
        <f t="shared" ref="H64:H67" si="74">+I64+J64</f>
        <v>0</v>
      </c>
      <c r="I64" s="300"/>
      <c r="J64" s="300"/>
      <c r="K64" s="342">
        <f t="shared" ref="K64:K67" si="75">+L64+M64</f>
        <v>616</v>
      </c>
      <c r="L64" s="298">
        <f t="shared" ref="L64" si="76">+F64+I64</f>
        <v>0</v>
      </c>
      <c r="M64" s="326">
        <f t="shared" ref="M64:M67" si="77">+G64+J64</f>
        <v>616</v>
      </c>
      <c r="N64" s="295"/>
      <c r="O64" s="295"/>
    </row>
    <row r="65" spans="1:15" x14ac:dyDescent="0.2">
      <c r="A65" s="299" t="str">
        <f>MID(C65,1,1)</f>
        <v>3</v>
      </c>
      <c r="B65" s="299">
        <v>32</v>
      </c>
      <c r="C65" s="299">
        <v>3233</v>
      </c>
      <c r="D65" s="226" t="s">
        <v>231</v>
      </c>
      <c r="E65" s="298">
        <f>+F65+G65</f>
        <v>7459</v>
      </c>
      <c r="F65" s="300">
        <v>3300</v>
      </c>
      <c r="G65" s="300">
        <v>4159</v>
      </c>
      <c r="H65" s="300">
        <f t="shared" si="74"/>
        <v>11300</v>
      </c>
      <c r="I65" s="300"/>
      <c r="J65" s="300">
        <v>11300</v>
      </c>
      <c r="K65" s="342">
        <f t="shared" si="75"/>
        <v>18759</v>
      </c>
      <c r="L65" s="298">
        <f t="shared" ref="L65:L67" si="78">+F65+I65</f>
        <v>3300</v>
      </c>
      <c r="M65" s="326">
        <f t="shared" si="77"/>
        <v>15459</v>
      </c>
      <c r="N65" s="295"/>
      <c r="O65" s="295"/>
    </row>
    <row r="66" spans="1:15" x14ac:dyDescent="0.2">
      <c r="A66" s="299" t="str">
        <f>MID(C66,1,1)</f>
        <v>3</v>
      </c>
      <c r="B66" s="299">
        <v>32</v>
      </c>
      <c r="C66" s="299">
        <v>3239</v>
      </c>
      <c r="D66" s="226" t="s">
        <v>417</v>
      </c>
      <c r="E66" s="300">
        <f>+F66+G66</f>
        <v>40</v>
      </c>
      <c r="F66" s="300"/>
      <c r="G66" s="300">
        <v>40</v>
      </c>
      <c r="H66" s="300">
        <f t="shared" ref="H66" si="79">+I66+J66</f>
        <v>0</v>
      </c>
      <c r="I66" s="300"/>
      <c r="J66" s="300"/>
      <c r="K66" s="342">
        <f t="shared" ref="K66" si="80">+L66+M66</f>
        <v>40</v>
      </c>
      <c r="L66" s="298">
        <f t="shared" ref="L66" si="81">+F66+I66</f>
        <v>0</v>
      </c>
      <c r="M66" s="326">
        <f t="shared" ref="M66" si="82">+G66+J66</f>
        <v>40</v>
      </c>
      <c r="N66" s="295"/>
      <c r="O66" s="295"/>
    </row>
    <row r="67" spans="1:15" x14ac:dyDescent="0.2">
      <c r="A67" s="299" t="str">
        <f>MID(C67,1,1)</f>
        <v>3</v>
      </c>
      <c r="B67" s="299">
        <v>32</v>
      </c>
      <c r="C67" s="299">
        <v>3299</v>
      </c>
      <c r="D67" s="226" t="s">
        <v>455</v>
      </c>
      <c r="E67" s="300">
        <f>+F67+G67</f>
        <v>150</v>
      </c>
      <c r="F67" s="300">
        <v>150</v>
      </c>
      <c r="G67" s="300"/>
      <c r="H67" s="300">
        <f t="shared" si="74"/>
        <v>0</v>
      </c>
      <c r="I67" s="300"/>
      <c r="J67" s="300"/>
      <c r="K67" s="342">
        <f t="shared" si="75"/>
        <v>150</v>
      </c>
      <c r="L67" s="298">
        <f t="shared" si="78"/>
        <v>150</v>
      </c>
      <c r="M67" s="326">
        <f t="shared" si="77"/>
        <v>0</v>
      </c>
      <c r="N67" s="295"/>
      <c r="O67" s="295"/>
    </row>
    <row r="68" spans="1:15" x14ac:dyDescent="0.2">
      <c r="A68" s="301" t="s">
        <v>232</v>
      </c>
      <c r="B68" s="301"/>
      <c r="C68" s="302"/>
      <c r="D68" s="332"/>
      <c r="E68" s="303">
        <f>SUM(E64:E67)</f>
        <v>8265</v>
      </c>
      <c r="F68" s="303">
        <f>SUM(F64:F67)</f>
        <v>3450</v>
      </c>
      <c r="G68" s="303">
        <f>SUM(G64:G67)</f>
        <v>4815</v>
      </c>
      <c r="H68" s="303">
        <f>SUM(H64:H67)</f>
        <v>11300</v>
      </c>
      <c r="I68" s="303">
        <f t="shared" ref="I68:J68" si="83">SUM(I64:I67)</f>
        <v>0</v>
      </c>
      <c r="J68" s="303">
        <f t="shared" si="83"/>
        <v>11300</v>
      </c>
      <c r="K68" s="341">
        <f>SUM(K64:K67)</f>
        <v>19565</v>
      </c>
      <c r="L68" s="303">
        <f>SUM(L64:L67)</f>
        <v>3450</v>
      </c>
      <c r="M68" s="304">
        <f>SUM(M64:M67)</f>
        <v>16115</v>
      </c>
      <c r="N68" s="295"/>
      <c r="O68" s="295"/>
    </row>
    <row r="69" spans="1:15" x14ac:dyDescent="0.2">
      <c r="A69" s="299"/>
      <c r="B69" s="299"/>
      <c r="C69" s="299"/>
      <c r="D69" s="226"/>
      <c r="E69" s="300"/>
      <c r="F69" s="300"/>
      <c r="G69" s="300"/>
      <c r="H69" s="300"/>
      <c r="I69" s="300"/>
      <c r="J69" s="300"/>
      <c r="K69" s="352"/>
      <c r="L69" s="300"/>
      <c r="M69" s="328"/>
      <c r="N69" s="295"/>
      <c r="O69" s="295"/>
    </row>
    <row r="70" spans="1:15" x14ac:dyDescent="0.2">
      <c r="A70" s="299" t="str">
        <f t="shared" ref="A70:A86" si="84">MID(C70,1,1)</f>
        <v>3</v>
      </c>
      <c r="B70" s="299" t="str">
        <f t="shared" ref="B70:B86" si="85">MID(C70,1,2)</f>
        <v>33</v>
      </c>
      <c r="C70" s="299">
        <v>3311</v>
      </c>
      <c r="D70" s="226" t="s">
        <v>233</v>
      </c>
      <c r="E70" s="298">
        <f t="shared" ref="E70:E86" si="86">+F70+G70</f>
        <v>913817</v>
      </c>
      <c r="F70" s="300">
        <v>913688</v>
      </c>
      <c r="G70" s="300">
        <v>129</v>
      </c>
      <c r="H70" s="300">
        <f t="shared" ref="H70:H86" si="87">+I70+J70</f>
        <v>19421</v>
      </c>
      <c r="I70" s="300">
        <v>19421</v>
      </c>
      <c r="J70" s="300"/>
      <c r="K70" s="342">
        <f t="shared" ref="K70" si="88">+L70+M70</f>
        <v>933238</v>
      </c>
      <c r="L70" s="298">
        <f t="shared" ref="L70" si="89">+F70+I70</f>
        <v>933109</v>
      </c>
      <c r="M70" s="326">
        <f t="shared" ref="M70" si="90">+G70+J70</f>
        <v>129</v>
      </c>
      <c r="N70" s="295"/>
      <c r="O70" s="295"/>
    </row>
    <row r="71" spans="1:15" x14ac:dyDescent="0.2">
      <c r="A71" s="299" t="str">
        <f t="shared" si="84"/>
        <v>3</v>
      </c>
      <c r="B71" s="299" t="str">
        <f t="shared" si="85"/>
        <v>33</v>
      </c>
      <c r="C71" s="299">
        <v>3312</v>
      </c>
      <c r="D71" s="226" t="s">
        <v>158</v>
      </c>
      <c r="E71" s="298">
        <f t="shared" si="86"/>
        <v>146574</v>
      </c>
      <c r="F71" s="300">
        <v>146297</v>
      </c>
      <c r="G71" s="300">
        <v>277</v>
      </c>
      <c r="H71" s="300">
        <f t="shared" si="87"/>
        <v>352962</v>
      </c>
      <c r="I71" s="300">
        <v>352962</v>
      </c>
      <c r="J71" s="300"/>
      <c r="K71" s="342">
        <f t="shared" ref="K71:K86" si="91">+L71+M71</f>
        <v>499536</v>
      </c>
      <c r="L71" s="298">
        <f t="shared" ref="L71:L86" si="92">+F71+I71</f>
        <v>499259</v>
      </c>
      <c r="M71" s="326">
        <f t="shared" ref="M71:M86" si="93">+G71+J71</f>
        <v>277</v>
      </c>
      <c r="N71" s="295"/>
      <c r="O71" s="295"/>
    </row>
    <row r="72" spans="1:15" x14ac:dyDescent="0.2">
      <c r="A72" s="299" t="str">
        <f t="shared" si="84"/>
        <v>3</v>
      </c>
      <c r="B72" s="299" t="str">
        <f t="shared" si="85"/>
        <v>33</v>
      </c>
      <c r="C72" s="299">
        <v>3313</v>
      </c>
      <c r="D72" s="226" t="s">
        <v>234</v>
      </c>
      <c r="E72" s="298">
        <f t="shared" si="86"/>
        <v>9415</v>
      </c>
      <c r="F72" s="300">
        <v>9256</v>
      </c>
      <c r="G72" s="300">
        <v>159</v>
      </c>
      <c r="H72" s="300">
        <f t="shared" si="87"/>
        <v>229</v>
      </c>
      <c r="I72" s="300"/>
      <c r="J72" s="300">
        <v>229</v>
      </c>
      <c r="K72" s="342">
        <f t="shared" si="91"/>
        <v>9644</v>
      </c>
      <c r="L72" s="298">
        <f t="shared" si="92"/>
        <v>9256</v>
      </c>
      <c r="M72" s="326">
        <f t="shared" si="93"/>
        <v>388</v>
      </c>
      <c r="N72" s="295"/>
      <c r="O72" s="295"/>
    </row>
    <row r="73" spans="1:15" x14ac:dyDescent="0.2">
      <c r="A73" s="299" t="str">
        <f t="shared" si="84"/>
        <v>3</v>
      </c>
      <c r="B73" s="299" t="str">
        <f t="shared" si="85"/>
        <v>33</v>
      </c>
      <c r="C73" s="299">
        <v>3314</v>
      </c>
      <c r="D73" s="226" t="s">
        <v>235</v>
      </c>
      <c r="E73" s="298">
        <f t="shared" si="86"/>
        <v>108029</v>
      </c>
      <c r="F73" s="300">
        <v>106960</v>
      </c>
      <c r="G73" s="300">
        <v>1069</v>
      </c>
      <c r="H73" s="300">
        <f t="shared" si="87"/>
        <v>10100</v>
      </c>
      <c r="I73" s="300">
        <v>10100</v>
      </c>
      <c r="J73" s="300"/>
      <c r="K73" s="342">
        <f t="shared" si="91"/>
        <v>118129</v>
      </c>
      <c r="L73" s="298">
        <f t="shared" si="92"/>
        <v>117060</v>
      </c>
      <c r="M73" s="326">
        <f t="shared" si="93"/>
        <v>1069</v>
      </c>
      <c r="N73" s="295"/>
      <c r="O73" s="295"/>
    </row>
    <row r="74" spans="1:15" x14ac:dyDescent="0.2">
      <c r="A74" s="299" t="str">
        <f t="shared" si="84"/>
        <v>3</v>
      </c>
      <c r="B74" s="299" t="str">
        <f t="shared" si="85"/>
        <v>33</v>
      </c>
      <c r="C74" s="299">
        <v>3315</v>
      </c>
      <c r="D74" s="226" t="s">
        <v>236</v>
      </c>
      <c r="E74" s="298">
        <f t="shared" si="86"/>
        <v>94380</v>
      </c>
      <c r="F74" s="300">
        <v>94360</v>
      </c>
      <c r="G74" s="300">
        <v>20</v>
      </c>
      <c r="H74" s="300">
        <f t="shared" si="87"/>
        <v>3500</v>
      </c>
      <c r="I74" s="300">
        <v>3500</v>
      </c>
      <c r="J74" s="300"/>
      <c r="K74" s="342">
        <f t="shared" si="91"/>
        <v>97880</v>
      </c>
      <c r="L74" s="298">
        <f t="shared" si="92"/>
        <v>97860</v>
      </c>
      <c r="M74" s="326">
        <f t="shared" si="93"/>
        <v>20</v>
      </c>
      <c r="N74" s="295"/>
      <c r="O74" s="295"/>
    </row>
    <row r="75" spans="1:15" x14ac:dyDescent="0.2">
      <c r="A75" s="299" t="str">
        <f t="shared" si="84"/>
        <v>3</v>
      </c>
      <c r="B75" s="299" t="str">
        <f t="shared" si="85"/>
        <v>33</v>
      </c>
      <c r="C75" s="299">
        <v>3316</v>
      </c>
      <c r="D75" s="226" t="s">
        <v>237</v>
      </c>
      <c r="E75" s="298">
        <f t="shared" si="86"/>
        <v>1432</v>
      </c>
      <c r="F75" s="300">
        <v>1432</v>
      </c>
      <c r="G75" s="300"/>
      <c r="H75" s="298">
        <f>+I75+J75</f>
        <v>0</v>
      </c>
      <c r="I75" s="300"/>
      <c r="J75" s="300"/>
      <c r="K75" s="342">
        <f t="shared" si="91"/>
        <v>1432</v>
      </c>
      <c r="L75" s="298">
        <f t="shared" si="92"/>
        <v>1432</v>
      </c>
      <c r="M75" s="326">
        <f t="shared" si="93"/>
        <v>0</v>
      </c>
      <c r="N75" s="295"/>
      <c r="O75" s="295"/>
    </row>
    <row r="76" spans="1:15" x14ac:dyDescent="0.2">
      <c r="A76" s="299" t="str">
        <f t="shared" si="84"/>
        <v>3</v>
      </c>
      <c r="B76" s="299" t="str">
        <f t="shared" si="85"/>
        <v>33</v>
      </c>
      <c r="C76" s="299">
        <v>3317</v>
      </c>
      <c r="D76" s="226" t="s">
        <v>238</v>
      </c>
      <c r="E76" s="298">
        <f t="shared" si="86"/>
        <v>39514</v>
      </c>
      <c r="F76" s="300">
        <v>39454</v>
      </c>
      <c r="G76" s="300">
        <v>60</v>
      </c>
      <c r="H76" s="300">
        <f t="shared" si="87"/>
        <v>1687</v>
      </c>
      <c r="I76" s="300">
        <v>1687</v>
      </c>
      <c r="J76" s="300"/>
      <c r="K76" s="342">
        <f t="shared" si="91"/>
        <v>41201</v>
      </c>
      <c r="L76" s="298">
        <f t="shared" si="92"/>
        <v>41141</v>
      </c>
      <c r="M76" s="326">
        <f t="shared" si="93"/>
        <v>60</v>
      </c>
      <c r="N76" s="295"/>
      <c r="O76" s="295"/>
    </row>
    <row r="77" spans="1:15" x14ac:dyDescent="0.2">
      <c r="A77" s="299" t="str">
        <f t="shared" si="84"/>
        <v>3</v>
      </c>
      <c r="B77" s="299" t="str">
        <f t="shared" si="85"/>
        <v>33</v>
      </c>
      <c r="C77" s="299">
        <v>3319</v>
      </c>
      <c r="D77" s="226" t="s">
        <v>162</v>
      </c>
      <c r="E77" s="298">
        <f t="shared" si="86"/>
        <v>154222</v>
      </c>
      <c r="F77" s="300">
        <v>115005</v>
      </c>
      <c r="G77" s="300">
        <v>39217</v>
      </c>
      <c r="H77" s="300">
        <f t="shared" si="87"/>
        <v>50083</v>
      </c>
      <c r="I77" s="300">
        <v>48633</v>
      </c>
      <c r="J77" s="300">
        <v>1450</v>
      </c>
      <c r="K77" s="342">
        <f t="shared" si="91"/>
        <v>204305</v>
      </c>
      <c r="L77" s="298">
        <f t="shared" si="92"/>
        <v>163638</v>
      </c>
      <c r="M77" s="326">
        <f t="shared" si="93"/>
        <v>40667</v>
      </c>
      <c r="N77" s="295"/>
      <c r="O77" s="295"/>
    </row>
    <row r="78" spans="1:15" x14ac:dyDescent="0.2">
      <c r="A78" s="299" t="str">
        <f t="shared" si="84"/>
        <v>3</v>
      </c>
      <c r="B78" s="299" t="str">
        <f t="shared" si="85"/>
        <v>33</v>
      </c>
      <c r="C78" s="299">
        <v>3322</v>
      </c>
      <c r="D78" s="226" t="s">
        <v>239</v>
      </c>
      <c r="E78" s="298">
        <f t="shared" si="86"/>
        <v>20361</v>
      </c>
      <c r="F78" s="300">
        <v>20311</v>
      </c>
      <c r="G78" s="300">
        <v>50</v>
      </c>
      <c r="H78" s="300">
        <f t="shared" si="87"/>
        <v>2500</v>
      </c>
      <c r="I78" s="300">
        <v>2500</v>
      </c>
      <c r="J78" s="300"/>
      <c r="K78" s="342">
        <f t="shared" si="91"/>
        <v>22861</v>
      </c>
      <c r="L78" s="298">
        <f t="shared" si="92"/>
        <v>22811</v>
      </c>
      <c r="M78" s="326">
        <f t="shared" si="93"/>
        <v>50</v>
      </c>
      <c r="N78" s="295"/>
      <c r="O78" s="295"/>
    </row>
    <row r="79" spans="1:15" x14ac:dyDescent="0.2">
      <c r="A79" s="299" t="str">
        <f t="shared" si="84"/>
        <v>3</v>
      </c>
      <c r="B79" s="299" t="str">
        <f t="shared" si="85"/>
        <v>33</v>
      </c>
      <c r="C79" s="299">
        <v>3326</v>
      </c>
      <c r="D79" s="336" t="s">
        <v>418</v>
      </c>
      <c r="E79" s="298">
        <f t="shared" si="86"/>
        <v>3569</v>
      </c>
      <c r="F79" s="300">
        <v>2698</v>
      </c>
      <c r="G79" s="300">
        <v>871</v>
      </c>
      <c r="H79" s="300">
        <f t="shared" si="87"/>
        <v>13369</v>
      </c>
      <c r="I79" s="300">
        <v>13369</v>
      </c>
      <c r="J79" s="300"/>
      <c r="K79" s="342">
        <f t="shared" si="91"/>
        <v>16938</v>
      </c>
      <c r="L79" s="298">
        <f t="shared" si="92"/>
        <v>16067</v>
      </c>
      <c r="M79" s="326">
        <f t="shared" si="93"/>
        <v>871</v>
      </c>
      <c r="N79" s="295"/>
      <c r="O79" s="295"/>
    </row>
    <row r="80" spans="1:15" x14ac:dyDescent="0.2">
      <c r="A80" s="299" t="str">
        <f t="shared" si="84"/>
        <v>3</v>
      </c>
      <c r="B80" s="299" t="str">
        <f t="shared" si="85"/>
        <v>33</v>
      </c>
      <c r="C80" s="299">
        <v>3329</v>
      </c>
      <c r="D80" s="226" t="s">
        <v>240</v>
      </c>
      <c r="E80" s="298">
        <f t="shared" si="86"/>
        <v>2418</v>
      </c>
      <c r="F80" s="300">
        <v>2300</v>
      </c>
      <c r="G80" s="300">
        <v>118</v>
      </c>
      <c r="H80" s="298">
        <f>+I80+J80</f>
        <v>200</v>
      </c>
      <c r="I80" s="300"/>
      <c r="J80" s="300">
        <v>200</v>
      </c>
      <c r="K80" s="342">
        <f t="shared" si="91"/>
        <v>2618</v>
      </c>
      <c r="L80" s="298">
        <f t="shared" si="92"/>
        <v>2300</v>
      </c>
      <c r="M80" s="326">
        <f t="shared" si="93"/>
        <v>318</v>
      </c>
      <c r="N80" s="295"/>
      <c r="O80" s="295"/>
    </row>
    <row r="81" spans="1:15" x14ac:dyDescent="0.2">
      <c r="A81" s="299" t="str">
        <f t="shared" si="84"/>
        <v>3</v>
      </c>
      <c r="B81" s="299" t="str">
        <f t="shared" si="85"/>
        <v>33</v>
      </c>
      <c r="C81" s="299">
        <v>3330</v>
      </c>
      <c r="D81" s="336" t="s">
        <v>419</v>
      </c>
      <c r="E81" s="298">
        <f t="shared" si="86"/>
        <v>70</v>
      </c>
      <c r="F81" s="300"/>
      <c r="G81" s="300">
        <v>70</v>
      </c>
      <c r="H81" s="300">
        <f t="shared" si="87"/>
        <v>0</v>
      </c>
      <c r="I81" s="300"/>
      <c r="J81" s="300"/>
      <c r="K81" s="342">
        <f t="shared" si="91"/>
        <v>70</v>
      </c>
      <c r="L81" s="298">
        <f t="shared" si="92"/>
        <v>0</v>
      </c>
      <c r="M81" s="326">
        <f t="shared" si="93"/>
        <v>70</v>
      </c>
      <c r="N81" s="295"/>
      <c r="O81" s="295"/>
    </row>
    <row r="82" spans="1:15" x14ac:dyDescent="0.2">
      <c r="A82" s="299" t="str">
        <f t="shared" si="84"/>
        <v>3</v>
      </c>
      <c r="B82" s="299" t="str">
        <f t="shared" si="85"/>
        <v>33</v>
      </c>
      <c r="C82" s="299">
        <v>3341</v>
      </c>
      <c r="D82" s="226" t="s">
        <v>241</v>
      </c>
      <c r="E82" s="298">
        <f t="shared" si="86"/>
        <v>55</v>
      </c>
      <c r="F82" s="300"/>
      <c r="G82" s="300">
        <v>55</v>
      </c>
      <c r="H82" s="300">
        <f t="shared" si="87"/>
        <v>0</v>
      </c>
      <c r="I82" s="300"/>
      <c r="J82" s="300"/>
      <c r="K82" s="342">
        <f t="shared" si="91"/>
        <v>55</v>
      </c>
      <c r="L82" s="298">
        <f t="shared" si="92"/>
        <v>0</v>
      </c>
      <c r="M82" s="326">
        <f t="shared" si="93"/>
        <v>55</v>
      </c>
      <c r="N82" s="295"/>
      <c r="O82" s="295"/>
    </row>
    <row r="83" spans="1:15" x14ac:dyDescent="0.2">
      <c r="A83" s="299" t="str">
        <f t="shared" si="84"/>
        <v>3</v>
      </c>
      <c r="B83" s="299" t="str">
        <f t="shared" si="85"/>
        <v>33</v>
      </c>
      <c r="C83" s="299">
        <v>3349</v>
      </c>
      <c r="D83" s="226" t="s">
        <v>242</v>
      </c>
      <c r="E83" s="298">
        <f t="shared" si="86"/>
        <v>13350</v>
      </c>
      <c r="F83" s="300"/>
      <c r="G83" s="300">
        <v>13350</v>
      </c>
      <c r="H83" s="300">
        <f t="shared" si="87"/>
        <v>0</v>
      </c>
      <c r="I83" s="300"/>
      <c r="J83" s="300"/>
      <c r="K83" s="342">
        <f t="shared" si="91"/>
        <v>13350</v>
      </c>
      <c r="L83" s="298">
        <f t="shared" si="92"/>
        <v>0</v>
      </c>
      <c r="M83" s="326">
        <f t="shared" si="93"/>
        <v>13350</v>
      </c>
      <c r="N83" s="295"/>
      <c r="O83" s="295"/>
    </row>
    <row r="84" spans="1:15" x14ac:dyDescent="0.2">
      <c r="A84" s="299" t="str">
        <f t="shared" si="84"/>
        <v>3</v>
      </c>
      <c r="B84" s="299" t="str">
        <f t="shared" si="85"/>
        <v>33</v>
      </c>
      <c r="C84" s="299">
        <v>3369</v>
      </c>
      <c r="D84" s="226" t="s">
        <v>462</v>
      </c>
      <c r="E84" s="298">
        <f t="shared" si="86"/>
        <v>120</v>
      </c>
      <c r="F84" s="300"/>
      <c r="G84" s="300">
        <v>120</v>
      </c>
      <c r="H84" s="298"/>
      <c r="I84" s="300"/>
      <c r="J84" s="300"/>
      <c r="K84" s="342">
        <f t="shared" si="91"/>
        <v>120</v>
      </c>
      <c r="L84" s="298"/>
      <c r="M84" s="326">
        <f t="shared" si="93"/>
        <v>120</v>
      </c>
      <c r="N84" s="295"/>
      <c r="O84" s="295"/>
    </row>
    <row r="85" spans="1:15" x14ac:dyDescent="0.2">
      <c r="A85" s="299" t="str">
        <f t="shared" si="84"/>
        <v>3</v>
      </c>
      <c r="B85" s="299" t="str">
        <f t="shared" si="85"/>
        <v>33</v>
      </c>
      <c r="C85" s="299">
        <v>3392</v>
      </c>
      <c r="D85" s="226" t="s">
        <v>165</v>
      </c>
      <c r="E85" s="298">
        <f t="shared" si="86"/>
        <v>53092</v>
      </c>
      <c r="F85" s="300">
        <v>500</v>
      </c>
      <c r="G85" s="300">
        <v>52592</v>
      </c>
      <c r="H85" s="298">
        <f>+I85+J85</f>
        <v>21200</v>
      </c>
      <c r="I85" s="300">
        <v>20000</v>
      </c>
      <c r="J85" s="300">
        <v>1200</v>
      </c>
      <c r="K85" s="342">
        <f t="shared" si="91"/>
        <v>74292</v>
      </c>
      <c r="L85" s="298">
        <f t="shared" si="92"/>
        <v>20500</v>
      </c>
      <c r="M85" s="326">
        <f t="shared" si="93"/>
        <v>53792</v>
      </c>
      <c r="N85" s="295"/>
      <c r="O85" s="295"/>
    </row>
    <row r="86" spans="1:15" x14ac:dyDescent="0.2">
      <c r="A86" s="299" t="str">
        <f t="shared" si="84"/>
        <v>3</v>
      </c>
      <c r="B86" s="299" t="str">
        <f t="shared" si="85"/>
        <v>33</v>
      </c>
      <c r="C86" s="299">
        <v>3399</v>
      </c>
      <c r="D86" s="226" t="s">
        <v>166</v>
      </c>
      <c r="E86" s="298">
        <f t="shared" si="86"/>
        <v>21800</v>
      </c>
      <c r="F86" s="300"/>
      <c r="G86" s="300">
        <v>21800</v>
      </c>
      <c r="H86" s="300">
        <f t="shared" si="87"/>
        <v>0</v>
      </c>
      <c r="I86" s="300"/>
      <c r="J86" s="300"/>
      <c r="K86" s="342">
        <f t="shared" si="91"/>
        <v>21800</v>
      </c>
      <c r="L86" s="298">
        <f t="shared" si="92"/>
        <v>0</v>
      </c>
      <c r="M86" s="326">
        <f t="shared" si="93"/>
        <v>21800</v>
      </c>
      <c r="N86" s="295"/>
      <c r="O86" s="295"/>
    </row>
    <row r="87" spans="1:15" x14ac:dyDescent="0.2">
      <c r="A87" s="301" t="s">
        <v>167</v>
      </c>
      <c r="B87" s="301"/>
      <c r="C87" s="302"/>
      <c r="D87" s="332"/>
      <c r="E87" s="303">
        <f t="shared" ref="E87:M87" si="94">SUM(E70:E86)</f>
        <v>1582218</v>
      </c>
      <c r="F87" s="303">
        <f t="shared" si="94"/>
        <v>1452261</v>
      </c>
      <c r="G87" s="303">
        <f t="shared" si="94"/>
        <v>129957</v>
      </c>
      <c r="H87" s="303">
        <f t="shared" si="94"/>
        <v>475251</v>
      </c>
      <c r="I87" s="303">
        <f t="shared" si="94"/>
        <v>472172</v>
      </c>
      <c r="J87" s="303">
        <f t="shared" si="94"/>
        <v>3079</v>
      </c>
      <c r="K87" s="341">
        <f t="shared" si="94"/>
        <v>2057469</v>
      </c>
      <c r="L87" s="303">
        <f t="shared" si="94"/>
        <v>1924433</v>
      </c>
      <c r="M87" s="304">
        <f t="shared" si="94"/>
        <v>133036</v>
      </c>
      <c r="N87" s="295"/>
      <c r="O87" s="295"/>
    </row>
    <row r="88" spans="1:15" x14ac:dyDescent="0.2">
      <c r="A88" s="299"/>
      <c r="B88" s="311"/>
      <c r="C88" s="299"/>
      <c r="D88" s="226"/>
      <c r="E88" s="312"/>
      <c r="F88" s="312"/>
      <c r="G88" s="312"/>
      <c r="H88" s="312"/>
      <c r="I88" s="312"/>
      <c r="J88" s="312"/>
      <c r="K88" s="349"/>
      <c r="L88" s="312"/>
      <c r="M88" s="327"/>
      <c r="N88" s="295"/>
      <c r="O88" s="295"/>
    </row>
    <row r="89" spans="1:15" x14ac:dyDescent="0.2">
      <c r="A89" s="299">
        <v>3</v>
      </c>
      <c r="B89" s="299">
        <v>34</v>
      </c>
      <c r="C89" s="299">
        <v>3412</v>
      </c>
      <c r="D89" s="226" t="s">
        <v>412</v>
      </c>
      <c r="E89" s="298">
        <f>+F89+G89</f>
        <v>77946</v>
      </c>
      <c r="F89" s="300">
        <v>36274</v>
      </c>
      <c r="G89" s="300">
        <v>41672</v>
      </c>
      <c r="H89" s="300">
        <f t="shared" ref="H89:H92" si="95">+I89+J89</f>
        <v>330636</v>
      </c>
      <c r="I89" s="300">
        <v>294827</v>
      </c>
      <c r="J89" s="300">
        <v>35809</v>
      </c>
      <c r="K89" s="342">
        <f t="shared" ref="K89:K92" si="96">+L89+M89</f>
        <v>408582</v>
      </c>
      <c r="L89" s="298">
        <f t="shared" ref="L89:L92" si="97">+F89+I89</f>
        <v>331101</v>
      </c>
      <c r="M89" s="326">
        <f t="shared" ref="M89:M92" si="98">+G89+J89</f>
        <v>77481</v>
      </c>
      <c r="N89" s="295"/>
      <c r="O89" s="295"/>
    </row>
    <row r="90" spans="1:15" x14ac:dyDescent="0.2">
      <c r="A90" s="299" t="str">
        <f>MID(C90,1,1)</f>
        <v>3</v>
      </c>
      <c r="B90" s="299" t="str">
        <f>MID(C90,1,2)</f>
        <v>34</v>
      </c>
      <c r="C90" s="299">
        <v>3419</v>
      </c>
      <c r="D90" s="226" t="s">
        <v>330</v>
      </c>
      <c r="E90" s="298">
        <f>+F90+G90</f>
        <v>589371</v>
      </c>
      <c r="F90" s="300">
        <v>581038</v>
      </c>
      <c r="G90" s="300">
        <v>8333</v>
      </c>
      <c r="H90" s="300">
        <f t="shared" si="95"/>
        <v>623643</v>
      </c>
      <c r="I90" s="300">
        <v>623243</v>
      </c>
      <c r="J90" s="300">
        <v>400</v>
      </c>
      <c r="K90" s="342">
        <f t="shared" si="96"/>
        <v>1213014</v>
      </c>
      <c r="L90" s="298">
        <f t="shared" si="97"/>
        <v>1204281</v>
      </c>
      <c r="M90" s="326">
        <f t="shared" si="98"/>
        <v>8733</v>
      </c>
      <c r="N90" s="295"/>
      <c r="O90" s="295"/>
    </row>
    <row r="91" spans="1:15" x14ac:dyDescent="0.2">
      <c r="A91" s="299" t="str">
        <f>MID(C91,1,1)</f>
        <v>3</v>
      </c>
      <c r="B91" s="299" t="str">
        <f>MID(C91,1,2)</f>
        <v>34</v>
      </c>
      <c r="C91" s="299">
        <v>3421</v>
      </c>
      <c r="D91" s="226" t="s">
        <v>168</v>
      </c>
      <c r="E91" s="298">
        <f>+F91+G91</f>
        <v>132296</v>
      </c>
      <c r="F91" s="300">
        <v>120231</v>
      </c>
      <c r="G91" s="300">
        <v>12065</v>
      </c>
      <c r="H91" s="300">
        <f t="shared" si="95"/>
        <v>27815</v>
      </c>
      <c r="I91" s="300">
        <v>11023</v>
      </c>
      <c r="J91" s="300">
        <v>16792</v>
      </c>
      <c r="K91" s="342">
        <f t="shared" si="96"/>
        <v>160111</v>
      </c>
      <c r="L91" s="298">
        <f t="shared" si="97"/>
        <v>131254</v>
      </c>
      <c r="M91" s="326">
        <f t="shared" si="98"/>
        <v>28857</v>
      </c>
      <c r="N91" s="295"/>
      <c r="O91" s="295"/>
    </row>
    <row r="92" spans="1:15" x14ac:dyDescent="0.2">
      <c r="A92" s="299" t="str">
        <f>MID(C92,1,1)</f>
        <v>3</v>
      </c>
      <c r="B92" s="299" t="str">
        <f>MID(C92,1,2)</f>
        <v>34</v>
      </c>
      <c r="C92" s="299">
        <v>3429</v>
      </c>
      <c r="D92" s="226" t="s">
        <v>169</v>
      </c>
      <c r="E92" s="298">
        <f>+F92+G92</f>
        <v>7808</v>
      </c>
      <c r="F92" s="300">
        <v>2179</v>
      </c>
      <c r="G92" s="300">
        <v>5629</v>
      </c>
      <c r="H92" s="300">
        <f t="shared" si="95"/>
        <v>4989</v>
      </c>
      <c r="I92" s="300">
        <v>4989</v>
      </c>
      <c r="J92" s="300"/>
      <c r="K92" s="342">
        <f t="shared" si="96"/>
        <v>12797</v>
      </c>
      <c r="L92" s="298">
        <f t="shared" si="97"/>
        <v>7168</v>
      </c>
      <c r="M92" s="326">
        <f t="shared" si="98"/>
        <v>5629</v>
      </c>
      <c r="N92" s="295"/>
      <c r="O92" s="295"/>
    </row>
    <row r="93" spans="1:15" x14ac:dyDescent="0.2">
      <c r="A93" s="301" t="s">
        <v>404</v>
      </c>
      <c r="B93" s="301"/>
      <c r="C93" s="302"/>
      <c r="D93" s="332"/>
      <c r="E93" s="303">
        <f t="shared" ref="E93:M93" si="99">SUM(E89:E92)</f>
        <v>807421</v>
      </c>
      <c r="F93" s="303">
        <f t="shared" si="99"/>
        <v>739722</v>
      </c>
      <c r="G93" s="303">
        <f t="shared" si="99"/>
        <v>67699</v>
      </c>
      <c r="H93" s="303">
        <f t="shared" si="99"/>
        <v>987083</v>
      </c>
      <c r="I93" s="303">
        <f t="shared" si="99"/>
        <v>934082</v>
      </c>
      <c r="J93" s="303">
        <f>SUM(J89:J92)</f>
        <v>53001</v>
      </c>
      <c r="K93" s="341">
        <f t="shared" si="99"/>
        <v>1794504</v>
      </c>
      <c r="L93" s="303">
        <f t="shared" si="99"/>
        <v>1673804</v>
      </c>
      <c r="M93" s="304">
        <f t="shared" si="99"/>
        <v>120700</v>
      </c>
      <c r="N93" s="295"/>
      <c r="O93" s="295"/>
    </row>
    <row r="94" spans="1:15" ht="13.7" customHeight="1" x14ac:dyDescent="0.2">
      <c r="A94" s="299"/>
      <c r="B94" s="311"/>
      <c r="C94" s="299"/>
      <c r="D94" s="226"/>
      <c r="E94" s="312"/>
      <c r="F94" s="312"/>
      <c r="G94" s="312"/>
      <c r="H94" s="312"/>
      <c r="I94" s="312"/>
      <c r="J94" s="312"/>
      <c r="K94" s="349"/>
      <c r="L94" s="312"/>
      <c r="M94" s="327"/>
      <c r="N94" s="295"/>
      <c r="O94" s="295"/>
    </row>
    <row r="95" spans="1:15" x14ac:dyDescent="0.2">
      <c r="A95" s="299" t="str">
        <f t="shared" ref="A95:A105" si="100">MID(C95,1,1)</f>
        <v>3</v>
      </c>
      <c r="B95" s="299" t="str">
        <f t="shared" ref="B95:B105" si="101">MID(C95,1,2)</f>
        <v>35</v>
      </c>
      <c r="C95" s="299">
        <v>3511</v>
      </c>
      <c r="D95" s="226" t="s">
        <v>243</v>
      </c>
      <c r="E95" s="298">
        <f t="shared" ref="E95:E105" si="102">+F95+G95</f>
        <v>19785</v>
      </c>
      <c r="F95" s="300">
        <v>8922</v>
      </c>
      <c r="G95" s="300">
        <v>10863</v>
      </c>
      <c r="H95" s="300">
        <f t="shared" ref="H95:H103" si="103">+I95+J95</f>
        <v>50000</v>
      </c>
      <c r="I95" s="300">
        <v>35900</v>
      </c>
      <c r="J95" s="300">
        <v>14100</v>
      </c>
      <c r="K95" s="342">
        <f t="shared" ref="K95" si="104">+L95+M95</f>
        <v>69785</v>
      </c>
      <c r="L95" s="298">
        <f t="shared" ref="L95:L104" si="105">+F95+I95</f>
        <v>44822</v>
      </c>
      <c r="M95" s="326">
        <f t="shared" ref="M95:M104" si="106">+G95+J95</f>
        <v>24963</v>
      </c>
      <c r="N95" s="295"/>
      <c r="O95" s="295"/>
    </row>
    <row r="96" spans="1:15" x14ac:dyDescent="0.2">
      <c r="A96" s="299" t="str">
        <f>MID(C96,1,1)</f>
        <v>3</v>
      </c>
      <c r="B96" s="299" t="str">
        <f>MID(C96,1,2)</f>
        <v>35</v>
      </c>
      <c r="C96" s="299">
        <v>3522</v>
      </c>
      <c r="D96" s="226" t="s">
        <v>244</v>
      </c>
      <c r="E96" s="298">
        <f t="shared" si="102"/>
        <v>100601</v>
      </c>
      <c r="F96" s="300">
        <v>100601</v>
      </c>
      <c r="G96" s="300"/>
      <c r="H96" s="300">
        <f t="shared" si="103"/>
        <v>25500</v>
      </c>
      <c r="I96" s="300">
        <v>25500</v>
      </c>
      <c r="J96" s="300"/>
      <c r="K96" s="342">
        <f t="shared" ref="K96:K105" si="107">+L96+M96</f>
        <v>126101</v>
      </c>
      <c r="L96" s="298">
        <f t="shared" si="105"/>
        <v>126101</v>
      </c>
      <c r="M96" s="326">
        <f t="shared" si="106"/>
        <v>0</v>
      </c>
      <c r="N96" s="295"/>
      <c r="O96" s="295"/>
    </row>
    <row r="97" spans="1:15" x14ac:dyDescent="0.2">
      <c r="A97" s="299" t="str">
        <f t="shared" si="100"/>
        <v>3</v>
      </c>
      <c r="B97" s="299" t="str">
        <f t="shared" si="101"/>
        <v>35</v>
      </c>
      <c r="C97" s="299">
        <v>3523</v>
      </c>
      <c r="D97" s="226" t="s">
        <v>245</v>
      </c>
      <c r="E97" s="298">
        <f t="shared" si="102"/>
        <v>19385</v>
      </c>
      <c r="F97" s="300">
        <v>19385</v>
      </c>
      <c r="G97" s="300"/>
      <c r="H97" s="300">
        <f t="shared" si="103"/>
        <v>0</v>
      </c>
      <c r="I97" s="300"/>
      <c r="J97" s="300"/>
      <c r="K97" s="342">
        <f t="shared" si="107"/>
        <v>19385</v>
      </c>
      <c r="L97" s="298">
        <f t="shared" si="105"/>
        <v>19385</v>
      </c>
      <c r="M97" s="326">
        <f t="shared" si="106"/>
        <v>0</v>
      </c>
      <c r="N97" s="295"/>
      <c r="O97" s="295"/>
    </row>
    <row r="98" spans="1:15" x14ac:dyDescent="0.2">
      <c r="A98" s="299" t="str">
        <f t="shared" ref="A98" si="108">MID(C98,1,1)</f>
        <v>3</v>
      </c>
      <c r="B98" s="299" t="str">
        <f t="shared" ref="B98" si="109">MID(C98,1,2)</f>
        <v>35</v>
      </c>
      <c r="C98" s="299">
        <v>3525</v>
      </c>
      <c r="D98" s="226" t="s">
        <v>433</v>
      </c>
      <c r="E98" s="298">
        <f t="shared" si="102"/>
        <v>3252</v>
      </c>
      <c r="F98" s="300">
        <v>3252</v>
      </c>
      <c r="G98" s="300"/>
      <c r="H98" s="300">
        <f t="shared" si="103"/>
        <v>49000</v>
      </c>
      <c r="I98" s="300">
        <v>49000</v>
      </c>
      <c r="J98" s="300"/>
      <c r="K98" s="342">
        <f t="shared" si="107"/>
        <v>52252</v>
      </c>
      <c r="L98" s="298">
        <f t="shared" si="105"/>
        <v>52252</v>
      </c>
      <c r="M98" s="326"/>
      <c r="N98" s="295"/>
      <c r="O98" s="295"/>
    </row>
    <row r="99" spans="1:15" x14ac:dyDescent="0.2">
      <c r="A99" s="299" t="str">
        <f t="shared" si="100"/>
        <v>3</v>
      </c>
      <c r="B99" s="299" t="str">
        <f t="shared" si="101"/>
        <v>35</v>
      </c>
      <c r="C99" s="299">
        <v>3529</v>
      </c>
      <c r="D99" s="226" t="s">
        <v>171</v>
      </c>
      <c r="E99" s="298">
        <f t="shared" si="102"/>
        <v>55195</v>
      </c>
      <c r="F99" s="300">
        <v>55195</v>
      </c>
      <c r="G99" s="300"/>
      <c r="H99" s="300">
        <f t="shared" si="103"/>
        <v>0</v>
      </c>
      <c r="I99" s="300"/>
      <c r="J99" s="300"/>
      <c r="K99" s="342">
        <f t="shared" si="107"/>
        <v>55195</v>
      </c>
      <c r="L99" s="298">
        <f t="shared" si="105"/>
        <v>55195</v>
      </c>
      <c r="M99" s="326">
        <f t="shared" si="106"/>
        <v>0</v>
      </c>
      <c r="N99" s="295"/>
      <c r="O99" s="295"/>
    </row>
    <row r="100" spans="1:15" ht="12.75" customHeight="1" x14ac:dyDescent="0.2">
      <c r="A100" s="299" t="str">
        <f t="shared" si="100"/>
        <v>3</v>
      </c>
      <c r="B100" s="299" t="str">
        <f t="shared" si="101"/>
        <v>35</v>
      </c>
      <c r="C100" s="299">
        <v>3533</v>
      </c>
      <c r="D100" s="226" t="s">
        <v>322</v>
      </c>
      <c r="E100" s="298">
        <f t="shared" si="102"/>
        <v>0</v>
      </c>
      <c r="F100" s="300"/>
      <c r="G100" s="300"/>
      <c r="H100" s="300">
        <f t="shared" si="103"/>
        <v>4000</v>
      </c>
      <c r="I100" s="300">
        <v>4000</v>
      </c>
      <c r="J100" s="300"/>
      <c r="K100" s="342">
        <f t="shared" si="107"/>
        <v>4000</v>
      </c>
      <c r="L100" s="298">
        <f t="shared" si="105"/>
        <v>4000</v>
      </c>
      <c r="M100" s="326">
        <f t="shared" si="106"/>
        <v>0</v>
      </c>
      <c r="N100" s="295"/>
      <c r="O100" s="295"/>
    </row>
    <row r="101" spans="1:15" ht="12.75" customHeight="1" x14ac:dyDescent="0.2">
      <c r="A101" s="299" t="str">
        <f t="shared" ref="A101" si="110">MID(C101,1,1)</f>
        <v>3</v>
      </c>
      <c r="B101" s="299" t="str">
        <f t="shared" ref="B101" si="111">MID(C101,1,2)</f>
        <v>35</v>
      </c>
      <c r="C101" s="299">
        <v>3539</v>
      </c>
      <c r="D101" s="226" t="s">
        <v>461</v>
      </c>
      <c r="E101" s="298">
        <f t="shared" ref="E101" si="112">+F101+G101</f>
        <v>16</v>
      </c>
      <c r="F101" s="300"/>
      <c r="G101" s="300">
        <v>16</v>
      </c>
      <c r="H101" s="300">
        <f t="shared" ref="H101" si="113">+I101+J101</f>
        <v>0</v>
      </c>
      <c r="I101" s="300"/>
      <c r="J101" s="300"/>
      <c r="K101" s="342">
        <f t="shared" ref="K101" si="114">+L101+M101</f>
        <v>16</v>
      </c>
      <c r="L101" s="298">
        <f t="shared" ref="L101" si="115">+F101+I101</f>
        <v>0</v>
      </c>
      <c r="M101" s="326">
        <f t="shared" ref="M101" si="116">+G101+J101</f>
        <v>16</v>
      </c>
      <c r="N101" s="295"/>
      <c r="O101" s="295"/>
    </row>
    <row r="102" spans="1:15" x14ac:dyDescent="0.2">
      <c r="A102" s="299" t="str">
        <f t="shared" si="100"/>
        <v>3</v>
      </c>
      <c r="B102" s="299" t="str">
        <f t="shared" si="101"/>
        <v>35</v>
      </c>
      <c r="C102" s="299">
        <v>3541</v>
      </c>
      <c r="D102" s="336" t="s">
        <v>246</v>
      </c>
      <c r="E102" s="298">
        <f t="shared" si="102"/>
        <v>7377</v>
      </c>
      <c r="F102" s="300">
        <v>7377</v>
      </c>
      <c r="G102" s="300"/>
      <c r="H102" s="300">
        <f t="shared" si="103"/>
        <v>0</v>
      </c>
      <c r="I102" s="300"/>
      <c r="J102" s="300"/>
      <c r="K102" s="342">
        <f t="shared" si="107"/>
        <v>7377</v>
      </c>
      <c r="L102" s="298">
        <f t="shared" si="105"/>
        <v>7377</v>
      </c>
      <c r="M102" s="326">
        <f t="shared" si="106"/>
        <v>0</v>
      </c>
      <c r="N102" s="295"/>
      <c r="O102" s="295"/>
    </row>
    <row r="103" spans="1:15" x14ac:dyDescent="0.2">
      <c r="A103" s="299" t="str">
        <f t="shared" si="100"/>
        <v>3</v>
      </c>
      <c r="B103" s="299" t="str">
        <f t="shared" si="101"/>
        <v>35</v>
      </c>
      <c r="C103" s="299">
        <v>3543</v>
      </c>
      <c r="D103" s="226" t="s">
        <v>247</v>
      </c>
      <c r="E103" s="298">
        <f t="shared" si="102"/>
        <v>245</v>
      </c>
      <c r="F103" s="300">
        <v>150</v>
      </c>
      <c r="G103" s="300">
        <v>95</v>
      </c>
      <c r="H103" s="300">
        <f t="shared" si="103"/>
        <v>0</v>
      </c>
      <c r="I103" s="300"/>
      <c r="J103" s="300"/>
      <c r="K103" s="342">
        <f t="shared" si="107"/>
        <v>245</v>
      </c>
      <c r="L103" s="298">
        <f t="shared" si="105"/>
        <v>150</v>
      </c>
      <c r="M103" s="326">
        <f t="shared" si="106"/>
        <v>95</v>
      </c>
      <c r="N103" s="295"/>
      <c r="O103" s="295"/>
    </row>
    <row r="104" spans="1:15" x14ac:dyDescent="0.2">
      <c r="A104" s="299" t="str">
        <f t="shared" ref="A104" si="117">MID(C104,1,1)</f>
        <v>3</v>
      </c>
      <c r="B104" s="299" t="str">
        <f t="shared" ref="B104" si="118">MID(C104,1,2)</f>
        <v>35</v>
      </c>
      <c r="C104" s="299">
        <v>3545</v>
      </c>
      <c r="D104" s="226" t="s">
        <v>353</v>
      </c>
      <c r="E104" s="298">
        <f t="shared" ref="E104" si="119">+F104+G104</f>
        <v>7209</v>
      </c>
      <c r="F104" s="300">
        <v>7209</v>
      </c>
      <c r="G104" s="300"/>
      <c r="H104" s="300">
        <f t="shared" ref="H104" si="120">+I104+J104</f>
        <v>0</v>
      </c>
      <c r="I104" s="300"/>
      <c r="J104" s="300"/>
      <c r="K104" s="342">
        <f t="shared" ref="K104" si="121">+L104+M104</f>
        <v>7209</v>
      </c>
      <c r="L104" s="298">
        <f t="shared" si="105"/>
        <v>7209</v>
      </c>
      <c r="M104" s="326">
        <f t="shared" si="106"/>
        <v>0</v>
      </c>
      <c r="N104" s="295"/>
      <c r="O104" s="295"/>
    </row>
    <row r="105" spans="1:15" x14ac:dyDescent="0.2">
      <c r="A105" s="299" t="str">
        <f t="shared" si="100"/>
        <v>3</v>
      </c>
      <c r="B105" s="299" t="str">
        <f t="shared" si="101"/>
        <v>35</v>
      </c>
      <c r="C105" s="299">
        <v>3599</v>
      </c>
      <c r="D105" s="226" t="s">
        <v>248</v>
      </c>
      <c r="E105" s="298">
        <f t="shared" si="102"/>
        <v>17862</v>
      </c>
      <c r="F105" s="300">
        <v>17832</v>
      </c>
      <c r="G105" s="300">
        <v>30</v>
      </c>
      <c r="H105" s="300">
        <f t="shared" ref="H105" si="122">+I105+J105</f>
        <v>0</v>
      </c>
      <c r="I105" s="300"/>
      <c r="J105" s="300"/>
      <c r="K105" s="342">
        <f t="shared" si="107"/>
        <v>17862</v>
      </c>
      <c r="L105" s="298">
        <f t="shared" ref="L105" si="123">+F105+I105</f>
        <v>17832</v>
      </c>
      <c r="M105" s="326">
        <f t="shared" ref="M105" si="124">+G105+J105</f>
        <v>30</v>
      </c>
      <c r="N105" s="295"/>
      <c r="O105" s="295"/>
    </row>
    <row r="106" spans="1:15" x14ac:dyDescent="0.2">
      <c r="A106" s="301" t="s">
        <v>172</v>
      </c>
      <c r="B106" s="301"/>
      <c r="C106" s="302"/>
      <c r="D106" s="332"/>
      <c r="E106" s="303">
        <f t="shared" ref="E106:M106" si="125">SUM(E95:E105)</f>
        <v>230927</v>
      </c>
      <c r="F106" s="303">
        <f t="shared" si="125"/>
        <v>219923</v>
      </c>
      <c r="G106" s="303">
        <f t="shared" si="125"/>
        <v>11004</v>
      </c>
      <c r="H106" s="303">
        <f t="shared" si="125"/>
        <v>128500</v>
      </c>
      <c r="I106" s="303">
        <f t="shared" si="125"/>
        <v>114400</v>
      </c>
      <c r="J106" s="303">
        <f t="shared" si="125"/>
        <v>14100</v>
      </c>
      <c r="K106" s="341">
        <f t="shared" si="125"/>
        <v>359427</v>
      </c>
      <c r="L106" s="303">
        <f t="shared" si="125"/>
        <v>334323</v>
      </c>
      <c r="M106" s="304">
        <f t="shared" si="125"/>
        <v>25104</v>
      </c>
      <c r="N106" s="295"/>
      <c r="O106" s="295"/>
    </row>
    <row r="107" spans="1:15" ht="13.7" customHeight="1" x14ac:dyDescent="0.2">
      <c r="A107" s="299"/>
      <c r="B107" s="311"/>
      <c r="C107" s="299"/>
      <c r="D107" s="226"/>
      <c r="E107" s="312"/>
      <c r="F107" s="312"/>
      <c r="G107" s="312"/>
      <c r="H107" s="312"/>
      <c r="I107" s="312"/>
      <c r="J107" s="312"/>
      <c r="K107" s="349"/>
      <c r="L107" s="312"/>
      <c r="M107" s="327"/>
      <c r="N107" s="295"/>
      <c r="O107" s="295"/>
    </row>
    <row r="108" spans="1:15" x14ac:dyDescent="0.2">
      <c r="A108" s="299" t="str">
        <f t="shared" ref="A108:A118" si="126">MID(C108,1,1)</f>
        <v>3</v>
      </c>
      <c r="B108" s="299" t="str">
        <f t="shared" ref="B108:B118" si="127">MID(C108,1,2)</f>
        <v>36</v>
      </c>
      <c r="C108" s="299">
        <v>3612</v>
      </c>
      <c r="D108" s="226" t="s">
        <v>249</v>
      </c>
      <c r="E108" s="298">
        <f t="shared" ref="E108:E118" si="128">+F108+G108</f>
        <v>160324</v>
      </c>
      <c r="F108" s="300">
        <v>147907</v>
      </c>
      <c r="G108" s="300">
        <v>12417</v>
      </c>
      <c r="H108" s="300">
        <f t="shared" ref="H108:H118" si="129">+I108+J108</f>
        <v>855403</v>
      </c>
      <c r="I108" s="300">
        <v>198725</v>
      </c>
      <c r="J108" s="300">
        <v>656678</v>
      </c>
      <c r="K108" s="342">
        <f t="shared" ref="K108" si="130">+L108+M108</f>
        <v>1015727</v>
      </c>
      <c r="L108" s="298">
        <f t="shared" ref="L108:L118" si="131">+F108+I108</f>
        <v>346632</v>
      </c>
      <c r="M108" s="326">
        <f t="shared" ref="M108:M118" si="132">+G108+J108</f>
        <v>669095</v>
      </c>
      <c r="N108" s="295"/>
      <c r="O108" s="295"/>
    </row>
    <row r="109" spans="1:15" x14ac:dyDescent="0.2">
      <c r="A109" s="299" t="str">
        <f>MID(C109,1,1)</f>
        <v>3</v>
      </c>
      <c r="B109" s="299" t="str">
        <f>MID(C109,1,2)</f>
        <v>36</v>
      </c>
      <c r="C109" s="299">
        <v>3613</v>
      </c>
      <c r="D109" s="226" t="s">
        <v>174</v>
      </c>
      <c r="E109" s="298">
        <f t="shared" si="128"/>
        <v>121450</v>
      </c>
      <c r="F109" s="300">
        <v>89915</v>
      </c>
      <c r="G109" s="300">
        <v>31535</v>
      </c>
      <c r="H109" s="300">
        <f t="shared" si="129"/>
        <v>64856</v>
      </c>
      <c r="I109" s="300">
        <v>30121</v>
      </c>
      <c r="J109" s="300">
        <v>34735</v>
      </c>
      <c r="K109" s="342">
        <f t="shared" ref="K109:K118" si="133">+L109+M109</f>
        <v>186306</v>
      </c>
      <c r="L109" s="298">
        <f t="shared" si="131"/>
        <v>120036</v>
      </c>
      <c r="M109" s="326">
        <f t="shared" si="132"/>
        <v>66270</v>
      </c>
      <c r="N109" s="295"/>
      <c r="O109" s="295"/>
    </row>
    <row r="110" spans="1:15" x14ac:dyDescent="0.2">
      <c r="A110" s="299" t="str">
        <f t="shared" si="126"/>
        <v>3</v>
      </c>
      <c r="B110" s="299" t="str">
        <f t="shared" si="127"/>
        <v>36</v>
      </c>
      <c r="C110" s="299">
        <v>3619</v>
      </c>
      <c r="D110" s="226" t="s">
        <v>420</v>
      </c>
      <c r="E110" s="298">
        <f t="shared" si="128"/>
        <v>50</v>
      </c>
      <c r="F110" s="300">
        <v>50</v>
      </c>
      <c r="G110" s="300"/>
      <c r="H110" s="300">
        <f t="shared" si="129"/>
        <v>0</v>
      </c>
      <c r="I110" s="300"/>
      <c r="J110" s="300"/>
      <c r="K110" s="342">
        <f t="shared" si="133"/>
        <v>50</v>
      </c>
      <c r="L110" s="298">
        <f t="shared" si="131"/>
        <v>50</v>
      </c>
      <c r="M110" s="326">
        <f t="shared" si="132"/>
        <v>0</v>
      </c>
      <c r="N110" s="295"/>
      <c r="O110" s="295"/>
    </row>
    <row r="111" spans="1:15" x14ac:dyDescent="0.2">
      <c r="A111" s="299" t="str">
        <f t="shared" si="126"/>
        <v>3</v>
      </c>
      <c r="B111" s="299" t="str">
        <f t="shared" si="127"/>
        <v>36</v>
      </c>
      <c r="C111" s="299">
        <v>3631</v>
      </c>
      <c r="D111" s="226" t="s">
        <v>250</v>
      </c>
      <c r="E111" s="298">
        <f t="shared" si="128"/>
        <v>285790</v>
      </c>
      <c r="F111" s="300">
        <v>284322</v>
      </c>
      <c r="G111" s="300">
        <v>1468</v>
      </c>
      <c r="H111" s="300">
        <f t="shared" si="129"/>
        <v>35600</v>
      </c>
      <c r="I111" s="300">
        <v>35000</v>
      </c>
      <c r="J111" s="300">
        <v>600</v>
      </c>
      <c r="K111" s="342">
        <f t="shared" si="133"/>
        <v>321390</v>
      </c>
      <c r="L111" s="298">
        <f t="shared" si="131"/>
        <v>319322</v>
      </c>
      <c r="M111" s="326">
        <f t="shared" si="132"/>
        <v>2068</v>
      </c>
      <c r="N111" s="295"/>
      <c r="O111" s="295"/>
    </row>
    <row r="112" spans="1:15" x14ac:dyDescent="0.2">
      <c r="A112" s="299" t="str">
        <f t="shared" si="126"/>
        <v>3</v>
      </c>
      <c r="B112" s="299" t="str">
        <f t="shared" si="127"/>
        <v>36</v>
      </c>
      <c r="C112" s="299">
        <v>3632</v>
      </c>
      <c r="D112" s="226" t="s">
        <v>251</v>
      </c>
      <c r="E112" s="298">
        <f t="shared" si="128"/>
        <v>58961</v>
      </c>
      <c r="F112" s="300">
        <v>54977</v>
      </c>
      <c r="G112" s="300">
        <v>3984</v>
      </c>
      <c r="H112" s="300">
        <f t="shared" si="129"/>
        <v>2250</v>
      </c>
      <c r="I112" s="300">
        <v>2250</v>
      </c>
      <c r="J112" s="300"/>
      <c r="K112" s="342">
        <f t="shared" si="133"/>
        <v>61211</v>
      </c>
      <c r="L112" s="298">
        <f t="shared" si="131"/>
        <v>57227</v>
      </c>
      <c r="M112" s="326">
        <f t="shared" si="132"/>
        <v>3984</v>
      </c>
      <c r="N112" s="295"/>
      <c r="O112" s="295"/>
    </row>
    <row r="113" spans="1:15" x14ac:dyDescent="0.2">
      <c r="A113" s="299" t="str">
        <f t="shared" si="126"/>
        <v>3</v>
      </c>
      <c r="B113" s="299" t="str">
        <f t="shared" si="127"/>
        <v>36</v>
      </c>
      <c r="C113" s="299">
        <v>3633</v>
      </c>
      <c r="D113" s="226" t="s">
        <v>177</v>
      </c>
      <c r="E113" s="298">
        <f t="shared" si="128"/>
        <v>24035</v>
      </c>
      <c r="F113" s="300">
        <v>23996</v>
      </c>
      <c r="G113" s="300">
        <v>39</v>
      </c>
      <c r="H113" s="300">
        <f t="shared" si="129"/>
        <v>2800</v>
      </c>
      <c r="I113" s="300">
        <v>2000</v>
      </c>
      <c r="J113" s="300">
        <v>800</v>
      </c>
      <c r="K113" s="342">
        <f t="shared" si="133"/>
        <v>26835</v>
      </c>
      <c r="L113" s="298">
        <f t="shared" si="131"/>
        <v>25996</v>
      </c>
      <c r="M113" s="326">
        <f t="shared" si="132"/>
        <v>839</v>
      </c>
      <c r="N113" s="295"/>
      <c r="O113" s="295"/>
    </row>
    <row r="114" spans="1:15" x14ac:dyDescent="0.2">
      <c r="A114" s="299" t="str">
        <f t="shared" ref="A114" si="134">MID(C114,1,1)</f>
        <v>3</v>
      </c>
      <c r="B114" s="299" t="str">
        <f t="shared" ref="B114" si="135">MID(C114,1,2)</f>
        <v>36</v>
      </c>
      <c r="C114" s="299">
        <v>3634</v>
      </c>
      <c r="D114" s="226" t="s">
        <v>435</v>
      </c>
      <c r="E114" s="298">
        <f t="shared" ref="E114" si="136">+F114+G114</f>
        <v>1000</v>
      </c>
      <c r="F114" s="300"/>
      <c r="G114" s="300">
        <v>1000</v>
      </c>
      <c r="H114" s="300">
        <f t="shared" ref="H114" si="137">+I114+J114</f>
        <v>5200</v>
      </c>
      <c r="I114" s="300"/>
      <c r="J114" s="300">
        <v>5200</v>
      </c>
      <c r="K114" s="342">
        <f t="shared" ref="K114" si="138">+L114+M114</f>
        <v>6200</v>
      </c>
      <c r="L114" s="298">
        <f t="shared" ref="L114" si="139">+F114+I114</f>
        <v>0</v>
      </c>
      <c r="M114" s="326">
        <f t="shared" ref="M114" si="140">+G114+J114</f>
        <v>6200</v>
      </c>
      <c r="N114" s="295"/>
      <c r="O114" s="295"/>
    </row>
    <row r="115" spans="1:15" x14ac:dyDescent="0.2">
      <c r="A115" s="299" t="str">
        <f t="shared" si="126"/>
        <v>3</v>
      </c>
      <c r="B115" s="299" t="str">
        <f t="shared" si="127"/>
        <v>36</v>
      </c>
      <c r="C115" s="299">
        <v>3635</v>
      </c>
      <c r="D115" s="226" t="s">
        <v>252</v>
      </c>
      <c r="E115" s="298">
        <f t="shared" si="128"/>
        <v>56420</v>
      </c>
      <c r="F115" s="300">
        <v>56220</v>
      </c>
      <c r="G115" s="300">
        <v>200</v>
      </c>
      <c r="H115" s="300">
        <f t="shared" si="129"/>
        <v>29902</v>
      </c>
      <c r="I115" s="300">
        <v>29902</v>
      </c>
      <c r="J115" s="300"/>
      <c r="K115" s="342">
        <f t="shared" si="133"/>
        <v>86322</v>
      </c>
      <c r="L115" s="298">
        <f t="shared" si="131"/>
        <v>86122</v>
      </c>
      <c r="M115" s="326">
        <f t="shared" si="132"/>
        <v>200</v>
      </c>
      <c r="N115" s="295"/>
      <c r="O115" s="295"/>
    </row>
    <row r="116" spans="1:15" x14ac:dyDescent="0.2">
      <c r="A116" s="299" t="str">
        <f t="shared" si="126"/>
        <v>3</v>
      </c>
      <c r="B116" s="299" t="str">
        <f t="shared" si="127"/>
        <v>36</v>
      </c>
      <c r="C116" s="299">
        <v>3636</v>
      </c>
      <c r="D116" s="226" t="s">
        <v>253</v>
      </c>
      <c r="E116" s="298">
        <f t="shared" si="128"/>
        <v>37584</v>
      </c>
      <c r="F116" s="300">
        <v>35404</v>
      </c>
      <c r="G116" s="300">
        <v>2180</v>
      </c>
      <c r="H116" s="300">
        <f t="shared" si="129"/>
        <v>9637</v>
      </c>
      <c r="I116" s="300">
        <v>2635</v>
      </c>
      <c r="J116" s="300">
        <v>7002</v>
      </c>
      <c r="K116" s="342">
        <f t="shared" si="133"/>
        <v>47221</v>
      </c>
      <c r="L116" s="298">
        <f t="shared" si="131"/>
        <v>38039</v>
      </c>
      <c r="M116" s="326">
        <f t="shared" si="132"/>
        <v>9182</v>
      </c>
      <c r="N116" s="295"/>
      <c r="O116" s="295"/>
    </row>
    <row r="117" spans="1:15" x14ac:dyDescent="0.2">
      <c r="A117" s="299" t="str">
        <f t="shared" si="126"/>
        <v>3</v>
      </c>
      <c r="B117" s="299" t="str">
        <f t="shared" si="127"/>
        <v>36</v>
      </c>
      <c r="C117" s="299">
        <v>3639</v>
      </c>
      <c r="D117" s="226" t="s">
        <v>254</v>
      </c>
      <c r="E117" s="298">
        <f t="shared" si="128"/>
        <v>225157</v>
      </c>
      <c r="F117" s="300">
        <v>165949</v>
      </c>
      <c r="G117" s="300">
        <v>59208</v>
      </c>
      <c r="H117" s="300">
        <f t="shared" si="129"/>
        <v>297916</v>
      </c>
      <c r="I117" s="300">
        <v>210289</v>
      </c>
      <c r="J117" s="300">
        <v>87627</v>
      </c>
      <c r="K117" s="342">
        <f t="shared" si="133"/>
        <v>523073</v>
      </c>
      <c r="L117" s="298">
        <f t="shared" si="131"/>
        <v>376238</v>
      </c>
      <c r="M117" s="326">
        <f t="shared" si="132"/>
        <v>146835</v>
      </c>
      <c r="N117" s="295"/>
      <c r="O117" s="295"/>
    </row>
    <row r="118" spans="1:15" x14ac:dyDescent="0.2">
      <c r="A118" s="299" t="str">
        <f t="shared" si="126"/>
        <v>3</v>
      </c>
      <c r="B118" s="299" t="str">
        <f t="shared" si="127"/>
        <v>36</v>
      </c>
      <c r="C118" s="299">
        <v>3699</v>
      </c>
      <c r="D118" s="226" t="s">
        <v>431</v>
      </c>
      <c r="E118" s="298">
        <f t="shared" si="128"/>
        <v>12554</v>
      </c>
      <c r="F118" s="300">
        <v>2034</v>
      </c>
      <c r="G118" s="300">
        <v>10520</v>
      </c>
      <c r="H118" s="300">
        <f t="shared" si="129"/>
        <v>0</v>
      </c>
      <c r="I118" s="300"/>
      <c r="J118" s="300"/>
      <c r="K118" s="342">
        <f t="shared" si="133"/>
        <v>12554</v>
      </c>
      <c r="L118" s="298">
        <f t="shared" si="131"/>
        <v>2034</v>
      </c>
      <c r="M118" s="326">
        <f t="shared" si="132"/>
        <v>10520</v>
      </c>
      <c r="N118" s="295"/>
      <c r="O118" s="295"/>
    </row>
    <row r="119" spans="1:15" x14ac:dyDescent="0.2">
      <c r="A119" s="301" t="s">
        <v>179</v>
      </c>
      <c r="B119" s="301"/>
      <c r="C119" s="302"/>
      <c r="D119" s="332"/>
      <c r="E119" s="303">
        <f t="shared" ref="E119:M119" si="141">SUM(E108:E118)</f>
        <v>983325</v>
      </c>
      <c r="F119" s="303">
        <f t="shared" si="141"/>
        <v>860774</v>
      </c>
      <c r="G119" s="303">
        <f t="shared" si="141"/>
        <v>122551</v>
      </c>
      <c r="H119" s="303">
        <f t="shared" si="141"/>
        <v>1303564</v>
      </c>
      <c r="I119" s="303">
        <f t="shared" si="141"/>
        <v>510922</v>
      </c>
      <c r="J119" s="303">
        <f t="shared" si="141"/>
        <v>792642</v>
      </c>
      <c r="K119" s="341">
        <f t="shared" si="141"/>
        <v>2286889</v>
      </c>
      <c r="L119" s="303">
        <f t="shared" si="141"/>
        <v>1371696</v>
      </c>
      <c r="M119" s="304">
        <f t="shared" si="141"/>
        <v>915193</v>
      </c>
      <c r="N119" s="295"/>
      <c r="O119" s="295"/>
    </row>
    <row r="120" spans="1:15" ht="13.7" customHeight="1" x14ac:dyDescent="0.2">
      <c r="A120" s="299"/>
      <c r="B120" s="311"/>
      <c r="C120" s="299"/>
      <c r="D120" s="226"/>
      <c r="E120" s="312"/>
      <c r="F120" s="312"/>
      <c r="G120" s="312"/>
      <c r="H120" s="312"/>
      <c r="I120" s="312"/>
      <c r="J120" s="312"/>
      <c r="K120" s="349"/>
      <c r="L120" s="312"/>
      <c r="M120" s="327"/>
      <c r="N120" s="295"/>
      <c r="O120" s="295"/>
    </row>
    <row r="121" spans="1:15" x14ac:dyDescent="0.2">
      <c r="A121" s="299" t="str">
        <f t="shared" ref="A121:A134" si="142">MID(C121,1,1)</f>
        <v>3</v>
      </c>
      <c r="B121" s="299" t="str">
        <f t="shared" ref="B121:B134" si="143">MID(C121,1,2)</f>
        <v>37</v>
      </c>
      <c r="C121" s="299">
        <v>3716</v>
      </c>
      <c r="D121" s="226" t="s">
        <v>255</v>
      </c>
      <c r="E121" s="298">
        <f t="shared" ref="E121:E134" si="144">+F121+G121</f>
        <v>3502</v>
      </c>
      <c r="F121" s="300">
        <v>3502</v>
      </c>
      <c r="G121" s="300"/>
      <c r="H121" s="300">
        <f t="shared" ref="H121:H134" si="145">+I121+J121</f>
        <v>0</v>
      </c>
      <c r="I121" s="300"/>
      <c r="J121" s="300"/>
      <c r="K121" s="342">
        <f t="shared" ref="K121" si="146">+L121+M121</f>
        <v>3502</v>
      </c>
      <c r="L121" s="298">
        <f t="shared" ref="L121:L134" si="147">+F121+I121</f>
        <v>3502</v>
      </c>
      <c r="M121" s="326">
        <f t="shared" ref="M121:M134" si="148">+G121+J121</f>
        <v>0</v>
      </c>
      <c r="N121" s="295"/>
      <c r="O121" s="295"/>
    </row>
    <row r="122" spans="1:15" x14ac:dyDescent="0.2">
      <c r="A122" s="299" t="str">
        <f t="shared" ref="A122" si="149">MID(C122,1,1)</f>
        <v>3</v>
      </c>
      <c r="B122" s="299" t="str">
        <f t="shared" ref="B122" si="150">MID(C122,1,2)</f>
        <v>37</v>
      </c>
      <c r="C122" s="299">
        <v>3719</v>
      </c>
      <c r="D122" s="226" t="s">
        <v>312</v>
      </c>
      <c r="E122" s="298">
        <f t="shared" ref="E122" si="151">+F122+G122</f>
        <v>1209</v>
      </c>
      <c r="F122" s="300">
        <v>1209</v>
      </c>
      <c r="G122" s="300"/>
      <c r="H122" s="300">
        <f t="shared" ref="H122" si="152">+I122+J122</f>
        <v>0</v>
      </c>
      <c r="I122" s="300"/>
      <c r="J122" s="300"/>
      <c r="K122" s="342">
        <f t="shared" ref="K122:K133" si="153">+L122+M122</f>
        <v>1209</v>
      </c>
      <c r="L122" s="298">
        <f t="shared" si="147"/>
        <v>1209</v>
      </c>
      <c r="M122" s="326">
        <f t="shared" si="148"/>
        <v>0</v>
      </c>
      <c r="N122" s="295"/>
      <c r="O122" s="295"/>
    </row>
    <row r="123" spans="1:15" x14ac:dyDescent="0.2">
      <c r="A123" s="299" t="str">
        <f>MID(C123,1,1)</f>
        <v>3</v>
      </c>
      <c r="B123" s="299" t="str">
        <f>MID(C123,1,2)</f>
        <v>37</v>
      </c>
      <c r="C123" s="299">
        <v>3722</v>
      </c>
      <c r="D123" s="226" t="s">
        <v>256</v>
      </c>
      <c r="E123" s="298">
        <f t="shared" si="144"/>
        <v>239557</v>
      </c>
      <c r="F123" s="300">
        <v>193901</v>
      </c>
      <c r="G123" s="300">
        <v>45656</v>
      </c>
      <c r="H123" s="300">
        <f t="shared" si="145"/>
        <v>15160</v>
      </c>
      <c r="I123" s="300"/>
      <c r="J123" s="300">
        <v>15160</v>
      </c>
      <c r="K123" s="342">
        <f t="shared" si="153"/>
        <v>254717</v>
      </c>
      <c r="L123" s="298">
        <f t="shared" si="147"/>
        <v>193901</v>
      </c>
      <c r="M123" s="326">
        <f t="shared" si="148"/>
        <v>60816</v>
      </c>
      <c r="N123" s="295"/>
      <c r="O123" s="295"/>
    </row>
    <row r="124" spans="1:15" x14ac:dyDescent="0.2">
      <c r="A124" s="299" t="str">
        <f>MID(C124,1,1)</f>
        <v>3</v>
      </c>
      <c r="B124" s="299" t="str">
        <f>MID(C124,1,2)</f>
        <v>37</v>
      </c>
      <c r="C124" s="299">
        <v>3723</v>
      </c>
      <c r="D124" s="336" t="s">
        <v>421</v>
      </c>
      <c r="E124" s="298">
        <f>+F124+G124</f>
        <v>183</v>
      </c>
      <c r="F124" s="300"/>
      <c r="G124" s="300">
        <v>183</v>
      </c>
      <c r="H124" s="300">
        <f t="shared" si="145"/>
        <v>0</v>
      </c>
      <c r="I124" s="300"/>
      <c r="J124" s="300"/>
      <c r="K124" s="342">
        <f t="shared" si="153"/>
        <v>183</v>
      </c>
      <c r="L124" s="298">
        <f t="shared" si="147"/>
        <v>0</v>
      </c>
      <c r="M124" s="326">
        <f t="shared" si="148"/>
        <v>183</v>
      </c>
      <c r="N124" s="295"/>
      <c r="O124" s="295"/>
    </row>
    <row r="125" spans="1:15" x14ac:dyDescent="0.2">
      <c r="A125" s="299" t="str">
        <f>MID(C125,1,1)</f>
        <v>3</v>
      </c>
      <c r="B125" s="299" t="str">
        <f>MID(C125,1,2)</f>
        <v>37</v>
      </c>
      <c r="C125" s="299">
        <v>3725</v>
      </c>
      <c r="D125" s="226" t="s">
        <v>396</v>
      </c>
      <c r="E125" s="298">
        <f t="shared" si="144"/>
        <v>167161</v>
      </c>
      <c r="F125" s="300">
        <v>163514</v>
      </c>
      <c r="G125" s="300">
        <v>3647</v>
      </c>
      <c r="H125" s="300">
        <f t="shared" si="145"/>
        <v>3000</v>
      </c>
      <c r="I125" s="300"/>
      <c r="J125" s="300">
        <v>3000</v>
      </c>
      <c r="K125" s="342">
        <f t="shared" si="153"/>
        <v>170161</v>
      </c>
      <c r="L125" s="298">
        <f t="shared" si="147"/>
        <v>163514</v>
      </c>
      <c r="M125" s="326">
        <f t="shared" si="148"/>
        <v>6647</v>
      </c>
      <c r="N125" s="295"/>
      <c r="O125" s="295"/>
    </row>
    <row r="126" spans="1:15" x14ac:dyDescent="0.2">
      <c r="A126" s="299" t="str">
        <f t="shared" si="142"/>
        <v>3</v>
      </c>
      <c r="B126" s="299" t="str">
        <f t="shared" si="143"/>
        <v>37</v>
      </c>
      <c r="C126" s="299">
        <v>3729</v>
      </c>
      <c r="D126" s="226" t="s">
        <v>257</v>
      </c>
      <c r="E126" s="298">
        <f t="shared" si="144"/>
        <v>4725</v>
      </c>
      <c r="F126" s="300">
        <v>1300</v>
      </c>
      <c r="G126" s="300">
        <v>3425</v>
      </c>
      <c r="H126" s="298">
        <f>+I126+J126</f>
        <v>0</v>
      </c>
      <c r="I126" s="300"/>
      <c r="J126" s="300"/>
      <c r="K126" s="342">
        <f t="shared" si="153"/>
        <v>4725</v>
      </c>
      <c r="L126" s="298">
        <f t="shared" si="147"/>
        <v>1300</v>
      </c>
      <c r="M126" s="326">
        <f t="shared" si="148"/>
        <v>3425</v>
      </c>
      <c r="N126" s="295"/>
      <c r="O126" s="295"/>
    </row>
    <row r="127" spans="1:15" x14ac:dyDescent="0.2">
      <c r="A127" s="299" t="str">
        <f t="shared" si="142"/>
        <v>3</v>
      </c>
      <c r="B127" s="299" t="str">
        <f t="shared" si="143"/>
        <v>37</v>
      </c>
      <c r="C127" s="299">
        <v>3733</v>
      </c>
      <c r="D127" s="226" t="s">
        <v>258</v>
      </c>
      <c r="E127" s="298">
        <f t="shared" si="144"/>
        <v>642</v>
      </c>
      <c r="F127" s="300">
        <v>642</v>
      </c>
      <c r="G127" s="300"/>
      <c r="H127" s="298">
        <f>+I127+J127</f>
        <v>0</v>
      </c>
      <c r="I127" s="300"/>
      <c r="J127" s="300"/>
      <c r="K127" s="342">
        <f t="shared" si="153"/>
        <v>642</v>
      </c>
      <c r="L127" s="298">
        <f t="shared" si="147"/>
        <v>642</v>
      </c>
      <c r="M127" s="326">
        <f t="shared" si="148"/>
        <v>0</v>
      </c>
      <c r="N127" s="295"/>
      <c r="O127" s="295"/>
    </row>
    <row r="128" spans="1:15" x14ac:dyDescent="0.2">
      <c r="A128" s="299" t="str">
        <f t="shared" si="142"/>
        <v>3</v>
      </c>
      <c r="B128" s="299" t="str">
        <f t="shared" si="143"/>
        <v>37</v>
      </c>
      <c r="C128" s="299">
        <v>3739</v>
      </c>
      <c r="D128" s="226" t="s">
        <v>259</v>
      </c>
      <c r="E128" s="298">
        <f t="shared" si="144"/>
        <v>1160</v>
      </c>
      <c r="F128" s="300">
        <v>1160</v>
      </c>
      <c r="G128" s="300"/>
      <c r="H128" s="300">
        <f t="shared" si="145"/>
        <v>10800</v>
      </c>
      <c r="I128" s="300">
        <v>10800</v>
      </c>
      <c r="J128" s="300"/>
      <c r="K128" s="342">
        <f t="shared" si="153"/>
        <v>11960</v>
      </c>
      <c r="L128" s="298">
        <f t="shared" si="147"/>
        <v>11960</v>
      </c>
      <c r="M128" s="326">
        <f t="shared" si="148"/>
        <v>0</v>
      </c>
      <c r="N128" s="295"/>
      <c r="O128" s="295"/>
    </row>
    <row r="129" spans="1:15" x14ac:dyDescent="0.2">
      <c r="A129" s="299" t="str">
        <f t="shared" si="142"/>
        <v>3</v>
      </c>
      <c r="B129" s="299" t="str">
        <f t="shared" si="143"/>
        <v>37</v>
      </c>
      <c r="C129" s="299">
        <v>3741</v>
      </c>
      <c r="D129" s="226" t="s">
        <v>260</v>
      </c>
      <c r="E129" s="298">
        <f t="shared" si="144"/>
        <v>82511</v>
      </c>
      <c r="F129" s="300">
        <v>82511</v>
      </c>
      <c r="G129" s="300"/>
      <c r="H129" s="300">
        <f t="shared" si="145"/>
        <v>4255</v>
      </c>
      <c r="I129" s="300">
        <v>4255</v>
      </c>
      <c r="J129" s="300"/>
      <c r="K129" s="342">
        <f t="shared" si="153"/>
        <v>86766</v>
      </c>
      <c r="L129" s="298">
        <f t="shared" si="147"/>
        <v>86766</v>
      </c>
      <c r="M129" s="326">
        <f t="shared" si="148"/>
        <v>0</v>
      </c>
      <c r="N129" s="295"/>
      <c r="O129" s="295"/>
    </row>
    <row r="130" spans="1:15" x14ac:dyDescent="0.2">
      <c r="A130" s="299" t="str">
        <f t="shared" si="142"/>
        <v>3</v>
      </c>
      <c r="B130" s="299" t="str">
        <f t="shared" si="143"/>
        <v>37</v>
      </c>
      <c r="C130" s="299">
        <v>3742</v>
      </c>
      <c r="D130" s="226" t="s">
        <v>261</v>
      </c>
      <c r="E130" s="298">
        <f t="shared" si="144"/>
        <v>986</v>
      </c>
      <c r="F130" s="300">
        <v>980</v>
      </c>
      <c r="G130" s="300">
        <v>6</v>
      </c>
      <c r="H130" s="300">
        <f t="shared" si="145"/>
        <v>3</v>
      </c>
      <c r="I130" s="300"/>
      <c r="J130" s="300">
        <v>3</v>
      </c>
      <c r="K130" s="342">
        <f t="shared" si="153"/>
        <v>989</v>
      </c>
      <c r="L130" s="298">
        <f t="shared" si="147"/>
        <v>980</v>
      </c>
      <c r="M130" s="326">
        <f t="shared" si="148"/>
        <v>9</v>
      </c>
      <c r="N130" s="295"/>
      <c r="O130" s="295"/>
    </row>
    <row r="131" spans="1:15" x14ac:dyDescent="0.2">
      <c r="A131" s="299" t="str">
        <f t="shared" si="142"/>
        <v>3</v>
      </c>
      <c r="B131" s="299" t="str">
        <f t="shared" si="143"/>
        <v>37</v>
      </c>
      <c r="C131" s="299">
        <v>3744</v>
      </c>
      <c r="D131" s="226" t="s">
        <v>422</v>
      </c>
      <c r="E131" s="298">
        <f t="shared" si="144"/>
        <v>996</v>
      </c>
      <c r="F131" s="300">
        <v>996</v>
      </c>
      <c r="G131" s="300"/>
      <c r="H131" s="300">
        <f t="shared" si="145"/>
        <v>193987</v>
      </c>
      <c r="I131" s="300">
        <v>193987</v>
      </c>
      <c r="J131" s="300"/>
      <c r="K131" s="342">
        <f t="shared" si="153"/>
        <v>194983</v>
      </c>
      <c r="L131" s="298">
        <f t="shared" si="147"/>
        <v>194983</v>
      </c>
      <c r="M131" s="326">
        <f t="shared" si="148"/>
        <v>0</v>
      </c>
      <c r="N131" s="295"/>
      <c r="O131" s="295"/>
    </row>
    <row r="132" spans="1:15" x14ac:dyDescent="0.2">
      <c r="A132" s="299" t="str">
        <f t="shared" si="142"/>
        <v>3</v>
      </c>
      <c r="B132" s="299" t="str">
        <f t="shared" si="143"/>
        <v>37</v>
      </c>
      <c r="C132" s="299">
        <v>3745</v>
      </c>
      <c r="D132" s="226" t="s">
        <v>262</v>
      </c>
      <c r="E132" s="298">
        <f t="shared" si="144"/>
        <v>357434</v>
      </c>
      <c r="F132" s="300">
        <v>78334</v>
      </c>
      <c r="G132" s="300">
        <v>279100</v>
      </c>
      <c r="H132" s="300">
        <f t="shared" si="145"/>
        <v>124759</v>
      </c>
      <c r="I132" s="300">
        <v>28291</v>
      </c>
      <c r="J132" s="300">
        <v>96468</v>
      </c>
      <c r="K132" s="342">
        <f t="shared" si="153"/>
        <v>482193</v>
      </c>
      <c r="L132" s="298">
        <f t="shared" si="147"/>
        <v>106625</v>
      </c>
      <c r="M132" s="326">
        <f t="shared" si="148"/>
        <v>375568</v>
      </c>
      <c r="N132" s="295"/>
      <c r="O132" s="295"/>
    </row>
    <row r="133" spans="1:15" x14ac:dyDescent="0.2">
      <c r="A133" s="299" t="str">
        <f t="shared" si="142"/>
        <v>3</v>
      </c>
      <c r="B133" s="299" t="str">
        <f t="shared" si="143"/>
        <v>37</v>
      </c>
      <c r="C133" s="299">
        <v>3749</v>
      </c>
      <c r="D133" s="226" t="s">
        <v>263</v>
      </c>
      <c r="E133" s="298">
        <f t="shared" si="144"/>
        <v>1165</v>
      </c>
      <c r="F133" s="300">
        <v>250</v>
      </c>
      <c r="G133" s="300">
        <v>915</v>
      </c>
      <c r="H133" s="300">
        <f t="shared" si="145"/>
        <v>3460</v>
      </c>
      <c r="I133" s="300">
        <v>3460</v>
      </c>
      <c r="J133" s="300"/>
      <c r="K133" s="342">
        <f t="shared" si="153"/>
        <v>4625</v>
      </c>
      <c r="L133" s="298">
        <f t="shared" si="147"/>
        <v>3710</v>
      </c>
      <c r="M133" s="326">
        <f t="shared" si="148"/>
        <v>915</v>
      </c>
      <c r="N133" s="295"/>
      <c r="O133" s="295"/>
    </row>
    <row r="134" spans="1:15" x14ac:dyDescent="0.2">
      <c r="A134" s="299" t="str">
        <f t="shared" si="142"/>
        <v>3</v>
      </c>
      <c r="B134" s="299" t="str">
        <f t="shared" si="143"/>
        <v>37</v>
      </c>
      <c r="C134" s="299">
        <v>3792</v>
      </c>
      <c r="D134" s="226" t="s">
        <v>264</v>
      </c>
      <c r="E134" s="298">
        <f t="shared" si="144"/>
        <v>6600</v>
      </c>
      <c r="F134" s="300">
        <v>6580</v>
      </c>
      <c r="G134" s="300">
        <v>20</v>
      </c>
      <c r="H134" s="300">
        <f t="shared" si="145"/>
        <v>100</v>
      </c>
      <c r="I134" s="300">
        <v>100</v>
      </c>
      <c r="J134" s="300"/>
      <c r="K134" s="342">
        <f t="shared" ref="K134" si="154">+L134+M134</f>
        <v>6700</v>
      </c>
      <c r="L134" s="298">
        <f t="shared" si="147"/>
        <v>6680</v>
      </c>
      <c r="M134" s="326">
        <f t="shared" si="148"/>
        <v>20</v>
      </c>
      <c r="N134" s="295"/>
      <c r="O134" s="295"/>
    </row>
    <row r="135" spans="1:15" x14ac:dyDescent="0.2">
      <c r="A135" s="301" t="s">
        <v>183</v>
      </c>
      <c r="B135" s="301"/>
      <c r="C135" s="302"/>
      <c r="D135" s="332"/>
      <c r="E135" s="303">
        <f t="shared" ref="E135:M135" si="155">SUM(E121:E134)</f>
        <v>867831</v>
      </c>
      <c r="F135" s="303">
        <f t="shared" si="155"/>
        <v>534879</v>
      </c>
      <c r="G135" s="303">
        <f t="shared" si="155"/>
        <v>332952</v>
      </c>
      <c r="H135" s="303">
        <f t="shared" si="155"/>
        <v>355524</v>
      </c>
      <c r="I135" s="303">
        <f t="shared" si="155"/>
        <v>240893</v>
      </c>
      <c r="J135" s="303">
        <f t="shared" si="155"/>
        <v>114631</v>
      </c>
      <c r="K135" s="341">
        <f t="shared" si="155"/>
        <v>1223355</v>
      </c>
      <c r="L135" s="303">
        <f t="shared" si="155"/>
        <v>775772</v>
      </c>
      <c r="M135" s="304">
        <f t="shared" si="155"/>
        <v>447583</v>
      </c>
      <c r="N135" s="295"/>
      <c r="O135" s="295"/>
    </row>
    <row r="136" spans="1:15" ht="12.75" customHeight="1" x14ac:dyDescent="0.2">
      <c r="A136" s="316"/>
      <c r="B136" s="315"/>
      <c r="C136" s="316"/>
      <c r="D136" s="339"/>
      <c r="E136" s="317"/>
      <c r="F136" s="317"/>
      <c r="G136" s="317"/>
      <c r="H136" s="317"/>
      <c r="I136" s="317"/>
      <c r="J136" s="317"/>
      <c r="K136" s="353"/>
      <c r="L136" s="317"/>
      <c r="M136" s="354"/>
      <c r="N136" s="295"/>
      <c r="O136" s="295"/>
    </row>
    <row r="137" spans="1:15" x14ac:dyDescent="0.2">
      <c r="A137" s="299" t="str">
        <f>MID(C137,1,1)</f>
        <v>3</v>
      </c>
      <c r="B137" s="299" t="str">
        <f>MID(C137,1,2)</f>
        <v>38</v>
      </c>
      <c r="C137" s="299">
        <v>3809</v>
      </c>
      <c r="D137" s="226" t="s">
        <v>423</v>
      </c>
      <c r="E137" s="300">
        <f>+F137+G137</f>
        <v>40800</v>
      </c>
      <c r="F137" s="300">
        <v>40800</v>
      </c>
      <c r="G137" s="300"/>
      <c r="H137" s="300">
        <f>+I137+J137</f>
        <v>0</v>
      </c>
      <c r="I137" s="300"/>
      <c r="J137" s="300"/>
      <c r="K137" s="352">
        <f t="shared" ref="K137" si="156">+L137+M137</f>
        <v>40800</v>
      </c>
      <c r="L137" s="300">
        <f t="shared" ref="L137" si="157">+F137+I137</f>
        <v>40800</v>
      </c>
      <c r="M137" s="328">
        <f t="shared" ref="M137" si="158">+G137+J137</f>
        <v>0</v>
      </c>
      <c r="N137" s="295"/>
      <c r="O137" s="295"/>
    </row>
    <row r="138" spans="1:15" x14ac:dyDescent="0.2">
      <c r="A138" s="301" t="s">
        <v>265</v>
      </c>
      <c r="B138" s="301"/>
      <c r="C138" s="302"/>
      <c r="D138" s="332"/>
      <c r="E138" s="303">
        <f t="shared" ref="E138:M138" si="159">SUM(E137:E137)</f>
        <v>40800</v>
      </c>
      <c r="F138" s="303">
        <f t="shared" si="159"/>
        <v>40800</v>
      </c>
      <c r="G138" s="303">
        <f t="shared" si="159"/>
        <v>0</v>
      </c>
      <c r="H138" s="303">
        <f t="shared" si="159"/>
        <v>0</v>
      </c>
      <c r="I138" s="303">
        <f t="shared" si="159"/>
        <v>0</v>
      </c>
      <c r="J138" s="303">
        <f t="shared" si="159"/>
        <v>0</v>
      </c>
      <c r="K138" s="341">
        <f t="shared" si="159"/>
        <v>40800</v>
      </c>
      <c r="L138" s="303">
        <f t="shared" si="159"/>
        <v>40800</v>
      </c>
      <c r="M138" s="304">
        <f t="shared" si="159"/>
        <v>0</v>
      </c>
      <c r="N138" s="295"/>
      <c r="O138" s="295"/>
    </row>
    <row r="139" spans="1:15" ht="12.75" customHeight="1" x14ac:dyDescent="0.2">
      <c r="A139" s="319"/>
      <c r="B139" s="318"/>
      <c r="C139" s="319"/>
      <c r="D139" s="340"/>
      <c r="E139" s="320"/>
      <c r="F139" s="320"/>
      <c r="G139" s="320"/>
      <c r="H139" s="312"/>
      <c r="I139" s="312"/>
      <c r="J139" s="312"/>
      <c r="K139" s="349"/>
      <c r="L139" s="312"/>
      <c r="M139" s="327"/>
      <c r="N139" s="295"/>
      <c r="O139" s="295"/>
    </row>
    <row r="140" spans="1:15" x14ac:dyDescent="0.2">
      <c r="A140" s="299" t="str">
        <f>MID(C140,1,1)</f>
        <v>3</v>
      </c>
      <c r="B140" s="299" t="str">
        <f>MID(C140,1,2)</f>
        <v>39</v>
      </c>
      <c r="C140" s="299">
        <v>3900</v>
      </c>
      <c r="D140" s="226" t="s">
        <v>424</v>
      </c>
      <c r="E140" s="300">
        <f>+F140+G140</f>
        <v>46722</v>
      </c>
      <c r="F140" s="300">
        <v>45751</v>
      </c>
      <c r="G140" s="300">
        <v>971</v>
      </c>
      <c r="H140" s="300">
        <f>+I140+J140</f>
        <v>1500</v>
      </c>
      <c r="I140" s="300">
        <v>1500</v>
      </c>
      <c r="J140" s="300"/>
      <c r="K140" s="342">
        <f t="shared" ref="K140" si="160">+L140+M140</f>
        <v>48222</v>
      </c>
      <c r="L140" s="298">
        <f t="shared" ref="L140" si="161">+F140+I140</f>
        <v>47251</v>
      </c>
      <c r="M140" s="326">
        <f t="shared" ref="M140" si="162">+G140+J140</f>
        <v>971</v>
      </c>
      <c r="N140" s="295"/>
      <c r="O140" s="295"/>
    </row>
    <row r="141" spans="1:15" x14ac:dyDescent="0.2">
      <c r="A141" s="301" t="s">
        <v>439</v>
      </c>
      <c r="B141" s="301"/>
      <c r="C141" s="302"/>
      <c r="D141" s="332"/>
      <c r="E141" s="303">
        <f t="shared" ref="E141:M141" si="163">SUM(E140:E140)</f>
        <v>46722</v>
      </c>
      <c r="F141" s="303">
        <f t="shared" si="163"/>
        <v>45751</v>
      </c>
      <c r="G141" s="303">
        <f t="shared" si="163"/>
        <v>971</v>
      </c>
      <c r="H141" s="303">
        <f t="shared" si="163"/>
        <v>1500</v>
      </c>
      <c r="I141" s="303">
        <f t="shared" si="163"/>
        <v>1500</v>
      </c>
      <c r="J141" s="303">
        <f t="shared" si="163"/>
        <v>0</v>
      </c>
      <c r="K141" s="341">
        <f t="shared" si="163"/>
        <v>48222</v>
      </c>
      <c r="L141" s="303">
        <f t="shared" si="163"/>
        <v>47251</v>
      </c>
      <c r="M141" s="304">
        <f t="shared" si="163"/>
        <v>971</v>
      </c>
      <c r="N141" s="295"/>
      <c r="O141" s="295"/>
    </row>
    <row r="142" spans="1:15" ht="11.25" customHeight="1" thickBot="1" x14ac:dyDescent="0.25">
      <c r="A142" s="308"/>
      <c r="B142" s="321"/>
      <c r="C142" s="308"/>
      <c r="D142" s="334"/>
      <c r="E142" s="309"/>
      <c r="F142" s="309"/>
      <c r="G142" s="309"/>
      <c r="H142" s="309"/>
      <c r="I142" s="309"/>
      <c r="J142" s="309"/>
      <c r="K142" s="345"/>
      <c r="L142" s="309"/>
      <c r="M142" s="346"/>
      <c r="N142" s="295"/>
      <c r="O142" s="295"/>
    </row>
    <row r="143" spans="1:15" ht="14.25" thickTop="1" thickBot="1" x14ac:dyDescent="0.25">
      <c r="A143" s="321" t="s">
        <v>403</v>
      </c>
      <c r="B143" s="308"/>
      <c r="C143" s="308"/>
      <c r="D143" s="334"/>
      <c r="E143" s="309">
        <f>+E135+E119+E106+E93+E87+E62+E68+E138+E141</f>
        <v>5307774</v>
      </c>
      <c r="F143" s="309">
        <f>+F135+F119+F106+F93+F87+F62+F68+F138+F141</f>
        <v>3956339</v>
      </c>
      <c r="G143" s="309">
        <f>+G135+G119+G106+G93+G87+G62+G68+G138+G141</f>
        <v>1351435</v>
      </c>
      <c r="H143" s="309">
        <f>+H135+H119+H106+H93+H87+H62+H138+H141+H68</f>
        <v>3670604</v>
      </c>
      <c r="I143" s="309">
        <f>+I135+I119+I106+I93+I87+I62+I138+I141+I68</f>
        <v>2365574</v>
      </c>
      <c r="J143" s="309">
        <f>+J135+J119+J106+J93+J87+J62+J138+J141+J68</f>
        <v>1305030</v>
      </c>
      <c r="K143" s="345">
        <f>+K135+K119+K106+K93+K87+K62+K68+K138+K141</f>
        <v>8978378</v>
      </c>
      <c r="L143" s="309">
        <f>+L135+L119+L106+L93+L87+L62+L68+L138+L141</f>
        <v>6321913</v>
      </c>
      <c r="M143" s="346">
        <f>+M135+M119+M106+M93+M87+M62+M68+M138+M141</f>
        <v>2656465</v>
      </c>
      <c r="N143" s="295"/>
      <c r="O143" s="295"/>
    </row>
    <row r="144" spans="1:15" ht="13.5" thickTop="1" x14ac:dyDescent="0.2">
      <c r="A144" s="335"/>
      <c r="B144" s="297"/>
      <c r="C144" s="297"/>
      <c r="D144" s="331"/>
      <c r="E144" s="310"/>
      <c r="F144" s="310"/>
      <c r="G144" s="310"/>
      <c r="H144" s="310"/>
      <c r="I144" s="310"/>
      <c r="J144" s="310"/>
      <c r="K144" s="347"/>
      <c r="L144" s="310"/>
      <c r="M144" s="348"/>
      <c r="N144" s="295"/>
      <c r="O144" s="295"/>
    </row>
    <row r="145" spans="1:15" x14ac:dyDescent="0.2">
      <c r="A145" s="299" t="str">
        <f>MID(C145,1,1)</f>
        <v>4</v>
      </c>
      <c r="B145" s="299" t="str">
        <f>MID(C145,1,2)</f>
        <v>43</v>
      </c>
      <c r="C145" s="299">
        <v>4324</v>
      </c>
      <c r="D145" s="226" t="s">
        <v>266</v>
      </c>
      <c r="E145" s="298">
        <f t="shared" ref="E145:E159" si="164">+F145+G145</f>
        <v>17478</v>
      </c>
      <c r="F145" s="300"/>
      <c r="G145" s="300">
        <v>17478</v>
      </c>
      <c r="H145" s="300"/>
      <c r="I145" s="300"/>
      <c r="J145" s="300"/>
      <c r="K145" s="342">
        <f t="shared" ref="K145:K159" si="165">+L145+M145</f>
        <v>17478</v>
      </c>
      <c r="L145" s="298">
        <f t="shared" ref="L145:L159" si="166">+F145+I145</f>
        <v>0</v>
      </c>
      <c r="M145" s="326">
        <f t="shared" ref="M145:M159" si="167">+G145+J145</f>
        <v>17478</v>
      </c>
      <c r="N145" s="295"/>
      <c r="O145" s="295"/>
    </row>
    <row r="146" spans="1:15" x14ac:dyDescent="0.2">
      <c r="A146" s="299" t="str">
        <f t="shared" ref="A146:A159" si="168">MID(C146,1,1)</f>
        <v>4</v>
      </c>
      <c r="B146" s="299" t="str">
        <f t="shared" ref="B146:B159" si="169">MID(C146,1,2)</f>
        <v>43</v>
      </c>
      <c r="C146" s="299">
        <v>4329</v>
      </c>
      <c r="D146" s="226" t="s">
        <v>267</v>
      </c>
      <c r="E146" s="298">
        <f t="shared" si="164"/>
        <v>171</v>
      </c>
      <c r="F146" s="300"/>
      <c r="G146" s="300">
        <v>171</v>
      </c>
      <c r="H146" s="300">
        <f t="shared" ref="H146:H159" si="170">+I146+J146</f>
        <v>0</v>
      </c>
      <c r="I146" s="300"/>
      <c r="J146" s="300"/>
      <c r="K146" s="342">
        <f t="shared" si="165"/>
        <v>171</v>
      </c>
      <c r="L146" s="298">
        <f t="shared" si="166"/>
        <v>0</v>
      </c>
      <c r="M146" s="326">
        <f t="shared" si="167"/>
        <v>171</v>
      </c>
      <c r="N146" s="295"/>
      <c r="O146" s="295"/>
    </row>
    <row r="147" spans="1:15" x14ac:dyDescent="0.2">
      <c r="A147" s="299" t="str">
        <f t="shared" si="168"/>
        <v>4</v>
      </c>
      <c r="B147" s="299" t="str">
        <f t="shared" si="169"/>
        <v>43</v>
      </c>
      <c r="C147" s="299">
        <v>4339</v>
      </c>
      <c r="D147" s="226" t="s">
        <v>268</v>
      </c>
      <c r="E147" s="298">
        <f t="shared" si="164"/>
        <v>18021</v>
      </c>
      <c r="F147" s="300">
        <v>17808</v>
      </c>
      <c r="G147" s="300">
        <v>213</v>
      </c>
      <c r="H147" s="300"/>
      <c r="I147" s="300"/>
      <c r="J147" s="300"/>
      <c r="K147" s="342">
        <f t="shared" si="165"/>
        <v>18021</v>
      </c>
      <c r="L147" s="298">
        <f t="shared" si="166"/>
        <v>17808</v>
      </c>
      <c r="M147" s="326">
        <f t="shared" si="167"/>
        <v>213</v>
      </c>
      <c r="N147" s="295"/>
      <c r="O147" s="295"/>
    </row>
    <row r="148" spans="1:15" x14ac:dyDescent="0.2">
      <c r="A148" s="299" t="str">
        <f t="shared" si="168"/>
        <v>4</v>
      </c>
      <c r="B148" s="299" t="str">
        <f t="shared" si="169"/>
        <v>43</v>
      </c>
      <c r="C148" s="299">
        <v>4341</v>
      </c>
      <c r="D148" s="226" t="s">
        <v>413</v>
      </c>
      <c r="E148" s="298">
        <f t="shared" si="164"/>
        <v>12505</v>
      </c>
      <c r="F148" s="300">
        <v>12499</v>
      </c>
      <c r="G148" s="300">
        <v>6</v>
      </c>
      <c r="H148" s="300">
        <f t="shared" si="170"/>
        <v>25168</v>
      </c>
      <c r="I148" s="300">
        <v>25168</v>
      </c>
      <c r="J148" s="300"/>
      <c r="K148" s="342">
        <f t="shared" si="165"/>
        <v>37673</v>
      </c>
      <c r="L148" s="298">
        <f t="shared" si="166"/>
        <v>37667</v>
      </c>
      <c r="M148" s="326">
        <f t="shared" si="167"/>
        <v>6</v>
      </c>
      <c r="N148" s="295"/>
      <c r="O148" s="295"/>
    </row>
    <row r="149" spans="1:15" x14ac:dyDescent="0.2">
      <c r="A149" s="299" t="str">
        <f t="shared" si="168"/>
        <v>4</v>
      </c>
      <c r="B149" s="299" t="str">
        <f t="shared" si="169"/>
        <v>43</v>
      </c>
      <c r="C149" s="299">
        <v>4342</v>
      </c>
      <c r="D149" s="226" t="s">
        <v>425</v>
      </c>
      <c r="E149" s="298">
        <f t="shared" si="164"/>
        <v>18353</v>
      </c>
      <c r="F149" s="300">
        <v>18353</v>
      </c>
      <c r="G149" s="300"/>
      <c r="H149" s="300">
        <f t="shared" si="170"/>
        <v>800</v>
      </c>
      <c r="I149" s="300">
        <v>800</v>
      </c>
      <c r="J149" s="300"/>
      <c r="K149" s="342">
        <f t="shared" si="165"/>
        <v>19153</v>
      </c>
      <c r="L149" s="298">
        <f t="shared" si="166"/>
        <v>19153</v>
      </c>
      <c r="M149" s="326">
        <f t="shared" si="167"/>
        <v>0</v>
      </c>
      <c r="N149" s="295"/>
      <c r="O149" s="295"/>
    </row>
    <row r="150" spans="1:15" x14ac:dyDescent="0.2">
      <c r="A150" s="299" t="str">
        <f t="shared" ref="A150" si="171">MID(C150,1,1)</f>
        <v>4</v>
      </c>
      <c r="B150" s="299" t="str">
        <f t="shared" ref="B150" si="172">MID(C150,1,2)</f>
        <v>43</v>
      </c>
      <c r="C150" s="299">
        <v>4344</v>
      </c>
      <c r="D150" s="226" t="s">
        <v>354</v>
      </c>
      <c r="E150" s="298">
        <f t="shared" ref="E150" si="173">+F150+G150</f>
        <v>51</v>
      </c>
      <c r="F150" s="300"/>
      <c r="G150" s="300">
        <v>51</v>
      </c>
      <c r="H150" s="300">
        <f t="shared" ref="H150" si="174">+I150+J150</f>
        <v>0</v>
      </c>
      <c r="I150" s="300"/>
      <c r="J150" s="300"/>
      <c r="K150" s="342">
        <f t="shared" ref="K150" si="175">+L150+M150</f>
        <v>51</v>
      </c>
      <c r="L150" s="298">
        <f t="shared" si="166"/>
        <v>0</v>
      </c>
      <c r="M150" s="326">
        <f t="shared" si="167"/>
        <v>51</v>
      </c>
      <c r="N150" s="295"/>
      <c r="O150" s="295"/>
    </row>
    <row r="151" spans="1:15" x14ac:dyDescent="0.2">
      <c r="A151" s="299" t="str">
        <f t="shared" si="168"/>
        <v>4</v>
      </c>
      <c r="B151" s="299" t="str">
        <f t="shared" si="169"/>
        <v>43</v>
      </c>
      <c r="C151" s="299">
        <v>4349</v>
      </c>
      <c r="D151" s="226" t="s">
        <v>426</v>
      </c>
      <c r="E151" s="298">
        <f t="shared" si="164"/>
        <v>27843</v>
      </c>
      <c r="F151" s="300">
        <v>26563</v>
      </c>
      <c r="G151" s="300">
        <v>1280</v>
      </c>
      <c r="H151" s="300">
        <f t="shared" si="170"/>
        <v>0</v>
      </c>
      <c r="I151" s="300"/>
      <c r="J151" s="300"/>
      <c r="K151" s="342">
        <f t="shared" si="165"/>
        <v>27843</v>
      </c>
      <c r="L151" s="298">
        <f t="shared" si="166"/>
        <v>26563</v>
      </c>
      <c r="M151" s="326">
        <f t="shared" si="167"/>
        <v>1280</v>
      </c>
      <c r="N151" s="295"/>
      <c r="O151" s="295"/>
    </row>
    <row r="152" spans="1:15" x14ac:dyDescent="0.2">
      <c r="A152" s="299" t="str">
        <f t="shared" si="168"/>
        <v>4</v>
      </c>
      <c r="B152" s="299" t="str">
        <f t="shared" si="169"/>
        <v>43</v>
      </c>
      <c r="C152" s="299">
        <v>4350</v>
      </c>
      <c r="D152" s="226" t="s">
        <v>184</v>
      </c>
      <c r="E152" s="298">
        <f t="shared" si="164"/>
        <v>261347</v>
      </c>
      <c r="F152" s="300">
        <v>261347</v>
      </c>
      <c r="G152" s="300"/>
      <c r="H152" s="300">
        <f t="shared" si="170"/>
        <v>8580</v>
      </c>
      <c r="I152" s="300">
        <v>8580</v>
      </c>
      <c r="J152" s="300"/>
      <c r="K152" s="342">
        <f t="shared" si="165"/>
        <v>269927</v>
      </c>
      <c r="L152" s="298">
        <f t="shared" si="166"/>
        <v>269927</v>
      </c>
      <c r="M152" s="326">
        <f t="shared" si="167"/>
        <v>0</v>
      </c>
      <c r="N152" s="295"/>
      <c r="O152" s="295"/>
    </row>
    <row r="153" spans="1:15" x14ac:dyDescent="0.2">
      <c r="A153" s="299" t="str">
        <f t="shared" si="168"/>
        <v>4</v>
      </c>
      <c r="B153" s="299" t="str">
        <f t="shared" si="169"/>
        <v>43</v>
      </c>
      <c r="C153" s="299">
        <v>4351</v>
      </c>
      <c r="D153" s="336" t="s">
        <v>427</v>
      </c>
      <c r="E153" s="298">
        <f t="shared" si="164"/>
        <v>37</v>
      </c>
      <c r="F153" s="300"/>
      <c r="G153" s="300">
        <v>37</v>
      </c>
      <c r="H153" s="300">
        <f t="shared" si="170"/>
        <v>136490</v>
      </c>
      <c r="I153" s="300">
        <v>136490</v>
      </c>
      <c r="J153" s="300"/>
      <c r="K153" s="342">
        <f t="shared" si="165"/>
        <v>136527</v>
      </c>
      <c r="L153" s="298">
        <f t="shared" si="166"/>
        <v>136490</v>
      </c>
      <c r="M153" s="326">
        <f t="shared" si="167"/>
        <v>37</v>
      </c>
      <c r="N153" s="295"/>
      <c r="O153" s="295"/>
    </row>
    <row r="154" spans="1:15" x14ac:dyDescent="0.2">
      <c r="A154" s="299" t="str">
        <f t="shared" si="168"/>
        <v>4</v>
      </c>
      <c r="B154" s="299" t="str">
        <f t="shared" si="169"/>
        <v>43</v>
      </c>
      <c r="C154" s="299">
        <v>4357</v>
      </c>
      <c r="D154" s="336" t="s">
        <v>185</v>
      </c>
      <c r="E154" s="298">
        <f t="shared" si="164"/>
        <v>51404</v>
      </c>
      <c r="F154" s="300">
        <v>51164</v>
      </c>
      <c r="G154" s="300">
        <v>240</v>
      </c>
      <c r="H154" s="300">
        <f t="shared" si="170"/>
        <v>4200</v>
      </c>
      <c r="I154" s="300">
        <v>4200</v>
      </c>
      <c r="J154" s="300"/>
      <c r="K154" s="342">
        <f t="shared" si="165"/>
        <v>55604</v>
      </c>
      <c r="L154" s="298">
        <f t="shared" si="166"/>
        <v>55364</v>
      </c>
      <c r="M154" s="326">
        <f t="shared" si="167"/>
        <v>240</v>
      </c>
      <c r="N154" s="295"/>
      <c r="O154" s="295"/>
    </row>
    <row r="155" spans="1:15" x14ac:dyDescent="0.2">
      <c r="A155" s="299" t="str">
        <f t="shared" si="168"/>
        <v>4</v>
      </c>
      <c r="B155" s="299" t="str">
        <f t="shared" si="169"/>
        <v>43</v>
      </c>
      <c r="C155" s="299">
        <v>4359</v>
      </c>
      <c r="D155" s="226" t="s">
        <v>269</v>
      </c>
      <c r="E155" s="298">
        <f t="shared" si="164"/>
        <v>149272</v>
      </c>
      <c r="F155" s="300">
        <v>145700</v>
      </c>
      <c r="G155" s="300">
        <v>3572</v>
      </c>
      <c r="H155" s="300">
        <f t="shared" si="170"/>
        <v>6900</v>
      </c>
      <c r="I155" s="300"/>
      <c r="J155" s="300">
        <v>6900</v>
      </c>
      <c r="K155" s="342">
        <f t="shared" si="165"/>
        <v>156172</v>
      </c>
      <c r="L155" s="298">
        <f t="shared" si="166"/>
        <v>145700</v>
      </c>
      <c r="M155" s="326">
        <f t="shared" si="167"/>
        <v>10472</v>
      </c>
      <c r="N155" s="295"/>
      <c r="O155" s="295"/>
    </row>
    <row r="156" spans="1:15" x14ac:dyDescent="0.2">
      <c r="A156" s="299" t="str">
        <f t="shared" si="168"/>
        <v>4</v>
      </c>
      <c r="B156" s="299" t="str">
        <f t="shared" si="169"/>
        <v>43</v>
      </c>
      <c r="C156" s="299">
        <v>4372</v>
      </c>
      <c r="D156" s="226" t="s">
        <v>318</v>
      </c>
      <c r="E156" s="298">
        <f t="shared" si="164"/>
        <v>8</v>
      </c>
      <c r="F156" s="300"/>
      <c r="G156" s="300">
        <v>8</v>
      </c>
      <c r="H156" s="300">
        <f t="shared" si="170"/>
        <v>0</v>
      </c>
      <c r="I156" s="300"/>
      <c r="J156" s="300"/>
      <c r="K156" s="342">
        <f t="shared" si="165"/>
        <v>8</v>
      </c>
      <c r="L156" s="298">
        <f t="shared" si="166"/>
        <v>0</v>
      </c>
      <c r="M156" s="326">
        <f t="shared" si="167"/>
        <v>8</v>
      </c>
      <c r="N156" s="295"/>
      <c r="O156" s="295"/>
    </row>
    <row r="157" spans="1:15" x14ac:dyDescent="0.2">
      <c r="A157" s="299" t="str">
        <f t="shared" si="168"/>
        <v>4</v>
      </c>
      <c r="B157" s="299" t="str">
        <f t="shared" si="169"/>
        <v>43</v>
      </c>
      <c r="C157" s="299">
        <v>4374</v>
      </c>
      <c r="D157" s="226" t="s">
        <v>270</v>
      </c>
      <c r="E157" s="298">
        <f t="shared" si="164"/>
        <v>210587</v>
      </c>
      <c r="F157" s="300">
        <v>210507</v>
      </c>
      <c r="G157" s="300">
        <v>80</v>
      </c>
      <c r="H157" s="300">
        <f t="shared" si="170"/>
        <v>3120</v>
      </c>
      <c r="I157" s="300">
        <v>3120</v>
      </c>
      <c r="J157" s="300"/>
      <c r="K157" s="342">
        <f t="shared" si="165"/>
        <v>213707</v>
      </c>
      <c r="L157" s="298">
        <f t="shared" si="166"/>
        <v>213627</v>
      </c>
      <c r="M157" s="326">
        <f t="shared" si="167"/>
        <v>80</v>
      </c>
      <c r="N157" s="295"/>
      <c r="O157" s="295"/>
    </row>
    <row r="158" spans="1:15" x14ac:dyDescent="0.2">
      <c r="A158" s="299" t="str">
        <f t="shared" si="168"/>
        <v>4</v>
      </c>
      <c r="B158" s="299" t="str">
        <f t="shared" si="169"/>
        <v>43</v>
      </c>
      <c r="C158" s="299">
        <v>4379</v>
      </c>
      <c r="D158" s="226" t="s">
        <v>350</v>
      </c>
      <c r="E158" s="298">
        <f t="shared" si="164"/>
        <v>3071</v>
      </c>
      <c r="F158" s="300">
        <v>1692</v>
      </c>
      <c r="G158" s="300">
        <v>1379</v>
      </c>
      <c r="H158" s="300">
        <f t="shared" si="170"/>
        <v>0</v>
      </c>
      <c r="I158" s="300"/>
      <c r="J158" s="300"/>
      <c r="K158" s="342">
        <f t="shared" si="165"/>
        <v>3071</v>
      </c>
      <c r="L158" s="298">
        <f t="shared" si="166"/>
        <v>1692</v>
      </c>
      <c r="M158" s="326">
        <f t="shared" si="167"/>
        <v>1379</v>
      </c>
      <c r="N158" s="295"/>
      <c r="O158" s="295"/>
    </row>
    <row r="159" spans="1:15" x14ac:dyDescent="0.2">
      <c r="A159" s="299" t="str">
        <f t="shared" si="168"/>
        <v>4</v>
      </c>
      <c r="B159" s="299" t="str">
        <f t="shared" si="169"/>
        <v>43</v>
      </c>
      <c r="C159" s="299">
        <v>4399</v>
      </c>
      <c r="D159" s="226" t="s">
        <v>271</v>
      </c>
      <c r="E159" s="298">
        <f t="shared" si="164"/>
        <v>350</v>
      </c>
      <c r="F159" s="300"/>
      <c r="G159" s="300">
        <v>350</v>
      </c>
      <c r="H159" s="300">
        <f t="shared" si="170"/>
        <v>0</v>
      </c>
      <c r="I159" s="300"/>
      <c r="J159" s="300"/>
      <c r="K159" s="342">
        <f t="shared" si="165"/>
        <v>350</v>
      </c>
      <c r="L159" s="298">
        <f t="shared" si="166"/>
        <v>0</v>
      </c>
      <c r="M159" s="326">
        <f t="shared" si="167"/>
        <v>350</v>
      </c>
      <c r="N159" s="295"/>
      <c r="O159" s="295"/>
    </row>
    <row r="160" spans="1:15" x14ac:dyDescent="0.2">
      <c r="A160" s="301" t="s">
        <v>319</v>
      </c>
      <c r="B160" s="301"/>
      <c r="C160" s="302"/>
      <c r="D160" s="332"/>
      <c r="E160" s="303">
        <f t="shared" ref="E160:M160" si="176">SUM(E145:E159)</f>
        <v>770498</v>
      </c>
      <c r="F160" s="303">
        <f t="shared" si="176"/>
        <v>745633</v>
      </c>
      <c r="G160" s="303">
        <f t="shared" si="176"/>
        <v>24865</v>
      </c>
      <c r="H160" s="303">
        <f t="shared" si="176"/>
        <v>185258</v>
      </c>
      <c r="I160" s="303">
        <f t="shared" si="176"/>
        <v>178358</v>
      </c>
      <c r="J160" s="303">
        <f t="shared" si="176"/>
        <v>6900</v>
      </c>
      <c r="K160" s="341">
        <f t="shared" si="176"/>
        <v>955756</v>
      </c>
      <c r="L160" s="303">
        <f t="shared" si="176"/>
        <v>923991</v>
      </c>
      <c r="M160" s="304">
        <f t="shared" si="176"/>
        <v>31765</v>
      </c>
      <c r="N160" s="295"/>
      <c r="O160" s="295"/>
    </row>
    <row r="161" spans="1:15" ht="13.5" thickBot="1" x14ac:dyDescent="0.25">
      <c r="A161" s="306"/>
      <c r="B161" s="305"/>
      <c r="C161" s="306"/>
      <c r="D161" s="333"/>
      <c r="E161" s="307"/>
      <c r="F161" s="307"/>
      <c r="G161" s="307"/>
      <c r="H161" s="307"/>
      <c r="I161" s="307"/>
      <c r="J161" s="307"/>
      <c r="K161" s="343"/>
      <c r="L161" s="307"/>
      <c r="M161" s="344"/>
      <c r="N161" s="295"/>
      <c r="O161" s="295"/>
    </row>
    <row r="162" spans="1:15" ht="14.25" thickTop="1" thickBot="1" x14ac:dyDescent="0.25">
      <c r="A162" s="321" t="s">
        <v>187</v>
      </c>
      <c r="B162" s="308"/>
      <c r="C162" s="308"/>
      <c r="D162" s="334"/>
      <c r="E162" s="309">
        <f>+E160</f>
        <v>770498</v>
      </c>
      <c r="F162" s="309">
        <f t="shared" ref="F162:M162" si="177">+F160</f>
        <v>745633</v>
      </c>
      <c r="G162" s="309">
        <f t="shared" si="177"/>
        <v>24865</v>
      </c>
      <c r="H162" s="309">
        <f t="shared" si="177"/>
        <v>185258</v>
      </c>
      <c r="I162" s="309">
        <f t="shared" si="177"/>
        <v>178358</v>
      </c>
      <c r="J162" s="309">
        <f t="shared" si="177"/>
        <v>6900</v>
      </c>
      <c r="K162" s="345">
        <f t="shared" si="177"/>
        <v>955756</v>
      </c>
      <c r="L162" s="309">
        <f t="shared" si="177"/>
        <v>923991</v>
      </c>
      <c r="M162" s="346">
        <f t="shared" si="177"/>
        <v>31765</v>
      </c>
      <c r="N162" s="295"/>
      <c r="O162" s="295"/>
    </row>
    <row r="163" spans="1:15" ht="13.5" thickTop="1" x14ac:dyDescent="0.2">
      <c r="A163" s="318"/>
      <c r="B163" s="319"/>
      <c r="C163" s="319"/>
      <c r="D163" s="340"/>
      <c r="E163" s="320"/>
      <c r="F163" s="320"/>
      <c r="G163" s="320"/>
      <c r="H163" s="320"/>
      <c r="I163" s="320"/>
      <c r="J163" s="320"/>
      <c r="K163" s="355"/>
      <c r="L163" s="320"/>
      <c r="M163" s="356"/>
      <c r="N163" s="295"/>
      <c r="O163" s="295"/>
    </row>
    <row r="164" spans="1:15" x14ac:dyDescent="0.2">
      <c r="A164" s="299" t="str">
        <f t="shared" ref="A164:A168" si="178">MID(C164,1,1)</f>
        <v>5</v>
      </c>
      <c r="B164" s="299" t="str">
        <f t="shared" ref="B164:B168" si="179">MID(C164,1,2)</f>
        <v>52</v>
      </c>
      <c r="C164" s="299">
        <v>5212</v>
      </c>
      <c r="D164" s="226" t="s">
        <v>272</v>
      </c>
      <c r="E164" s="300">
        <f t="shared" ref="E164:E168" si="180">+F164+G164</f>
        <v>3697</v>
      </c>
      <c r="F164" s="300">
        <v>1824</v>
      </c>
      <c r="G164" s="300">
        <v>1873</v>
      </c>
      <c r="H164" s="300">
        <f t="shared" ref="H164:H168" si="181">+I164+J164</f>
        <v>0</v>
      </c>
      <c r="I164" s="300"/>
      <c r="J164" s="300"/>
      <c r="K164" s="352">
        <f t="shared" ref="K164" si="182">+L164+M164</f>
        <v>3697</v>
      </c>
      <c r="L164" s="300">
        <f t="shared" ref="L164:L168" si="183">+F164+I164</f>
        <v>1824</v>
      </c>
      <c r="M164" s="328">
        <f t="shared" ref="M164:M168" si="184">+G164+J164</f>
        <v>1873</v>
      </c>
      <c r="N164" s="295"/>
      <c r="O164" s="295"/>
    </row>
    <row r="165" spans="1:15" x14ac:dyDescent="0.2">
      <c r="A165" s="299" t="str">
        <f t="shared" si="178"/>
        <v>5</v>
      </c>
      <c r="B165" s="299" t="str">
        <f t="shared" si="179"/>
        <v>52</v>
      </c>
      <c r="C165" s="299">
        <v>5213</v>
      </c>
      <c r="D165" s="226" t="s">
        <v>323</v>
      </c>
      <c r="E165" s="298">
        <f t="shared" si="180"/>
        <v>4931</v>
      </c>
      <c r="F165" s="300">
        <v>4110</v>
      </c>
      <c r="G165" s="300">
        <v>821</v>
      </c>
      <c r="H165" s="300">
        <f t="shared" si="181"/>
        <v>0</v>
      </c>
      <c r="I165" s="300"/>
      <c r="J165" s="300"/>
      <c r="K165" s="352">
        <f t="shared" ref="K165:K166" si="185">+L165+M165</f>
        <v>4931</v>
      </c>
      <c r="L165" s="300">
        <f t="shared" si="183"/>
        <v>4110</v>
      </c>
      <c r="M165" s="328">
        <f t="shared" si="184"/>
        <v>821</v>
      </c>
      <c r="N165" s="295"/>
      <c r="O165" s="295"/>
    </row>
    <row r="166" spans="1:15" x14ac:dyDescent="0.2">
      <c r="A166" s="299" t="str">
        <f t="shared" si="178"/>
        <v>5</v>
      </c>
      <c r="B166" s="299" t="str">
        <f t="shared" si="179"/>
        <v>52</v>
      </c>
      <c r="C166" s="299">
        <v>5269</v>
      </c>
      <c r="D166" s="226" t="s">
        <v>432</v>
      </c>
      <c r="E166" s="298">
        <f t="shared" si="180"/>
        <v>20</v>
      </c>
      <c r="F166" s="300"/>
      <c r="G166" s="300">
        <v>20</v>
      </c>
      <c r="H166" s="300">
        <f t="shared" si="181"/>
        <v>0</v>
      </c>
      <c r="I166" s="300"/>
      <c r="J166" s="300"/>
      <c r="K166" s="352">
        <f t="shared" si="185"/>
        <v>20</v>
      </c>
      <c r="L166" s="300">
        <f t="shared" si="183"/>
        <v>0</v>
      </c>
      <c r="M166" s="328">
        <f t="shared" si="184"/>
        <v>20</v>
      </c>
      <c r="N166" s="295"/>
      <c r="O166" s="295"/>
    </row>
    <row r="167" spans="1:15" x14ac:dyDescent="0.2">
      <c r="A167" s="299" t="str">
        <f t="shared" si="178"/>
        <v>5</v>
      </c>
      <c r="B167" s="299" t="str">
        <f t="shared" si="179"/>
        <v>52</v>
      </c>
      <c r="C167" s="299">
        <v>5273</v>
      </c>
      <c r="D167" s="226" t="s">
        <v>273</v>
      </c>
      <c r="E167" s="300">
        <f t="shared" si="180"/>
        <v>150</v>
      </c>
      <c r="F167" s="300">
        <v>50</v>
      </c>
      <c r="G167" s="300">
        <v>100</v>
      </c>
      <c r="H167" s="300">
        <f t="shared" si="181"/>
        <v>0</v>
      </c>
      <c r="I167" s="300"/>
      <c r="J167" s="300"/>
      <c r="K167" s="342">
        <f t="shared" ref="K167:K168" si="186">+L167+M167</f>
        <v>150</v>
      </c>
      <c r="L167" s="298">
        <f t="shared" si="183"/>
        <v>50</v>
      </c>
      <c r="M167" s="326">
        <f t="shared" si="184"/>
        <v>100</v>
      </c>
      <c r="N167" s="295"/>
      <c r="O167" s="295"/>
    </row>
    <row r="168" spans="1:15" x14ac:dyDescent="0.2">
      <c r="A168" s="299" t="str">
        <f t="shared" si="178"/>
        <v>5</v>
      </c>
      <c r="B168" s="299" t="str">
        <f t="shared" si="179"/>
        <v>52</v>
      </c>
      <c r="C168" s="299">
        <v>5279</v>
      </c>
      <c r="D168" s="226" t="s">
        <v>428</v>
      </c>
      <c r="E168" s="300">
        <f t="shared" si="180"/>
        <v>15</v>
      </c>
      <c r="F168" s="300"/>
      <c r="G168" s="300">
        <v>15</v>
      </c>
      <c r="H168" s="300">
        <f t="shared" si="181"/>
        <v>0</v>
      </c>
      <c r="I168" s="300"/>
      <c r="J168" s="300"/>
      <c r="K168" s="342">
        <f t="shared" si="186"/>
        <v>15</v>
      </c>
      <c r="L168" s="298">
        <f t="shared" si="183"/>
        <v>0</v>
      </c>
      <c r="M168" s="326">
        <f t="shared" si="184"/>
        <v>15</v>
      </c>
      <c r="N168" s="295"/>
      <c r="O168" s="295"/>
    </row>
    <row r="169" spans="1:15" x14ac:dyDescent="0.2">
      <c r="A169" s="301" t="s">
        <v>274</v>
      </c>
      <c r="B169" s="301"/>
      <c r="C169" s="302"/>
      <c r="D169" s="332"/>
      <c r="E169" s="303">
        <f t="shared" ref="E169:M169" si="187">SUM(E164:E168)</f>
        <v>8813</v>
      </c>
      <c r="F169" s="303">
        <f t="shared" si="187"/>
        <v>5984</v>
      </c>
      <c r="G169" s="303">
        <f t="shared" si="187"/>
        <v>2829</v>
      </c>
      <c r="H169" s="303">
        <f t="shared" si="187"/>
        <v>0</v>
      </c>
      <c r="I169" s="303">
        <f t="shared" si="187"/>
        <v>0</v>
      </c>
      <c r="J169" s="303">
        <f t="shared" si="187"/>
        <v>0</v>
      </c>
      <c r="K169" s="341">
        <f t="shared" si="187"/>
        <v>8813</v>
      </c>
      <c r="L169" s="303">
        <f t="shared" si="187"/>
        <v>5984</v>
      </c>
      <c r="M169" s="304">
        <f t="shared" si="187"/>
        <v>2829</v>
      </c>
      <c r="N169" s="295"/>
      <c r="O169" s="295"/>
    </row>
    <row r="170" spans="1:15" x14ac:dyDescent="0.2">
      <c r="A170" s="299"/>
      <c r="B170" s="311"/>
      <c r="C170" s="299"/>
      <c r="D170" s="226"/>
      <c r="E170" s="312"/>
      <c r="F170" s="312"/>
      <c r="G170" s="312"/>
      <c r="H170" s="312"/>
      <c r="I170" s="312"/>
      <c r="J170" s="312"/>
      <c r="K170" s="349"/>
      <c r="L170" s="312"/>
      <c r="M170" s="327"/>
      <c r="N170" s="295"/>
      <c r="O170" s="295"/>
    </row>
    <row r="171" spans="1:15" x14ac:dyDescent="0.2">
      <c r="A171" s="299" t="str">
        <f>MID(C171,1,1)</f>
        <v>5</v>
      </c>
      <c r="B171" s="299" t="str">
        <f>MID(C171,1,2)</f>
        <v>53</v>
      </c>
      <c r="C171" s="299">
        <v>5311</v>
      </c>
      <c r="D171" s="226" t="s">
        <v>275</v>
      </c>
      <c r="E171" s="298">
        <f>+F171+G171</f>
        <v>548876</v>
      </c>
      <c r="F171" s="300">
        <v>548501</v>
      </c>
      <c r="G171" s="300">
        <v>375</v>
      </c>
      <c r="H171" s="300">
        <f t="shared" ref="H171:H172" si="188">+I171+J171</f>
        <v>12810</v>
      </c>
      <c r="I171" s="300">
        <v>11410</v>
      </c>
      <c r="J171" s="300">
        <v>1400</v>
      </c>
      <c r="K171" s="342">
        <f t="shared" ref="K171:K173" si="189">+L171+M171</f>
        <v>561686</v>
      </c>
      <c r="L171" s="298">
        <f t="shared" ref="L171:L173" si="190">+F171+I171</f>
        <v>559911</v>
      </c>
      <c r="M171" s="326">
        <f t="shared" ref="M171:M173" si="191">+G171+J171</f>
        <v>1775</v>
      </c>
      <c r="N171" s="295"/>
      <c r="O171" s="295"/>
    </row>
    <row r="172" spans="1:15" x14ac:dyDescent="0.2">
      <c r="A172" s="299" t="str">
        <f>MID(C172,1,1)</f>
        <v>5</v>
      </c>
      <c r="B172" s="299" t="str">
        <f>MID(C172,1,2)</f>
        <v>53</v>
      </c>
      <c r="C172" s="299">
        <v>5319</v>
      </c>
      <c r="D172" s="226" t="s">
        <v>276</v>
      </c>
      <c r="E172" s="298">
        <f>+F172+G172</f>
        <v>360</v>
      </c>
      <c r="F172" s="300">
        <v>300</v>
      </c>
      <c r="G172" s="300">
        <v>60</v>
      </c>
      <c r="H172" s="300">
        <f t="shared" si="188"/>
        <v>0</v>
      </c>
      <c r="I172" s="300"/>
      <c r="J172" s="300"/>
      <c r="K172" s="342">
        <f t="shared" ref="K172" si="192">+L172+M172</f>
        <v>360</v>
      </c>
      <c r="L172" s="298">
        <f t="shared" ref="L172" si="193">+F172+I172</f>
        <v>300</v>
      </c>
      <c r="M172" s="326">
        <f t="shared" ref="M172" si="194">+G172+J172</f>
        <v>60</v>
      </c>
      <c r="N172" s="295"/>
      <c r="O172" s="295"/>
    </row>
    <row r="173" spans="1:15" x14ac:dyDescent="0.2">
      <c r="A173" s="299" t="str">
        <f>MID(C173,1,1)</f>
        <v>5</v>
      </c>
      <c r="B173" s="299" t="str">
        <f>MID(C173,1,2)</f>
        <v>53</v>
      </c>
      <c r="C173" s="299">
        <v>5399</v>
      </c>
      <c r="D173" s="226" t="s">
        <v>458</v>
      </c>
      <c r="E173" s="298">
        <f>+F173+G173</f>
        <v>0</v>
      </c>
      <c r="F173" s="300"/>
      <c r="G173" s="300"/>
      <c r="H173" s="300">
        <f t="shared" ref="H173" si="195">+I173+J173</f>
        <v>3600</v>
      </c>
      <c r="I173" s="300"/>
      <c r="J173" s="300">
        <v>3600</v>
      </c>
      <c r="K173" s="342">
        <f t="shared" si="189"/>
        <v>3600</v>
      </c>
      <c r="L173" s="298">
        <f t="shared" si="190"/>
        <v>0</v>
      </c>
      <c r="M173" s="326">
        <f t="shared" si="191"/>
        <v>3600</v>
      </c>
      <c r="N173" s="295"/>
      <c r="O173" s="295"/>
    </row>
    <row r="174" spans="1:15" x14ac:dyDescent="0.2">
      <c r="A174" s="301" t="s">
        <v>189</v>
      </c>
      <c r="B174" s="301"/>
      <c r="C174" s="302"/>
      <c r="D174" s="332"/>
      <c r="E174" s="303">
        <f t="shared" ref="E174:M174" si="196">SUM(E171:E173)</f>
        <v>549236</v>
      </c>
      <c r="F174" s="303">
        <f t="shared" si="196"/>
        <v>548801</v>
      </c>
      <c r="G174" s="303">
        <f t="shared" si="196"/>
        <v>435</v>
      </c>
      <c r="H174" s="303">
        <f t="shared" si="196"/>
        <v>16410</v>
      </c>
      <c r="I174" s="303">
        <f t="shared" si="196"/>
        <v>11410</v>
      </c>
      <c r="J174" s="303">
        <f t="shared" si="196"/>
        <v>5000</v>
      </c>
      <c r="K174" s="341">
        <f t="shared" si="196"/>
        <v>565646</v>
      </c>
      <c r="L174" s="303">
        <f t="shared" si="196"/>
        <v>560211</v>
      </c>
      <c r="M174" s="304">
        <f t="shared" si="196"/>
        <v>5435</v>
      </c>
    </row>
    <row r="175" spans="1:15" x14ac:dyDescent="0.2">
      <c r="A175" s="299"/>
      <c r="B175" s="311"/>
      <c r="C175" s="299"/>
      <c r="D175" s="226"/>
      <c r="E175" s="312"/>
      <c r="F175" s="312"/>
      <c r="G175" s="312"/>
      <c r="H175" s="312"/>
      <c r="I175" s="312"/>
      <c r="J175" s="312"/>
      <c r="K175" s="349"/>
      <c r="L175" s="312"/>
      <c r="M175" s="327"/>
    </row>
    <row r="176" spans="1:15" x14ac:dyDescent="0.2">
      <c r="A176" s="299" t="str">
        <f>MID(C176,1,1)</f>
        <v>5</v>
      </c>
      <c r="B176" s="299" t="str">
        <f>MID(C176,1,2)</f>
        <v>55</v>
      </c>
      <c r="C176" s="299">
        <v>5511</v>
      </c>
      <c r="D176" s="226" t="s">
        <v>277</v>
      </c>
      <c r="E176" s="298">
        <f>+F176+G176</f>
        <v>5200</v>
      </c>
      <c r="F176" s="300">
        <v>5000</v>
      </c>
      <c r="G176" s="300">
        <v>200</v>
      </c>
      <c r="H176" s="300">
        <f t="shared" ref="H176:H177" si="197">+I176+J176</f>
        <v>62345</v>
      </c>
      <c r="I176" s="300">
        <v>62345</v>
      </c>
      <c r="J176" s="300"/>
      <c r="K176" s="342">
        <f t="shared" ref="K176:K178" si="198">+L176+M176</f>
        <v>67545</v>
      </c>
      <c r="L176" s="298">
        <f t="shared" ref="L176:M178" si="199">+F176+I176</f>
        <v>67345</v>
      </c>
      <c r="M176" s="326">
        <f t="shared" si="199"/>
        <v>200</v>
      </c>
    </row>
    <row r="177" spans="1:13" x14ac:dyDescent="0.2">
      <c r="A177" s="299" t="str">
        <f>MID(C177,1,1)</f>
        <v>5</v>
      </c>
      <c r="B177" s="299" t="str">
        <f>MID(C177,1,2)</f>
        <v>55</v>
      </c>
      <c r="C177" s="299">
        <v>5512</v>
      </c>
      <c r="D177" s="226" t="s">
        <v>278</v>
      </c>
      <c r="E177" s="298">
        <f>+F177+G177</f>
        <v>15021</v>
      </c>
      <c r="F177" s="300"/>
      <c r="G177" s="300">
        <v>15021</v>
      </c>
      <c r="H177" s="300">
        <f t="shared" si="197"/>
        <v>2308</v>
      </c>
      <c r="I177" s="300"/>
      <c r="J177" s="300">
        <v>2308</v>
      </c>
      <c r="K177" s="342">
        <f t="shared" si="198"/>
        <v>17329</v>
      </c>
      <c r="L177" s="298">
        <f t="shared" si="199"/>
        <v>0</v>
      </c>
      <c r="M177" s="326">
        <f t="shared" si="199"/>
        <v>17329</v>
      </c>
    </row>
    <row r="178" spans="1:13" x14ac:dyDescent="0.2">
      <c r="A178" s="299" t="str">
        <f>MID(C178,1,1)</f>
        <v>5</v>
      </c>
      <c r="B178" s="299" t="str">
        <f>MID(C178,1,2)</f>
        <v>55</v>
      </c>
      <c r="C178" s="299">
        <v>5519</v>
      </c>
      <c r="D178" s="226" t="s">
        <v>279</v>
      </c>
      <c r="E178" s="298">
        <f>+F178+G178</f>
        <v>615</v>
      </c>
      <c r="F178" s="300"/>
      <c r="G178" s="300">
        <v>615</v>
      </c>
      <c r="H178" s="300">
        <f>+I178+J178</f>
        <v>0</v>
      </c>
      <c r="I178" s="300"/>
      <c r="J178" s="300"/>
      <c r="K178" s="342">
        <f t="shared" si="198"/>
        <v>615</v>
      </c>
      <c r="L178" s="298">
        <f t="shared" si="199"/>
        <v>0</v>
      </c>
      <c r="M178" s="326">
        <f t="shared" si="199"/>
        <v>615</v>
      </c>
    </row>
    <row r="179" spans="1:13" x14ac:dyDescent="0.2">
      <c r="A179" s="301" t="s">
        <v>280</v>
      </c>
      <c r="B179" s="301"/>
      <c r="C179" s="302"/>
      <c r="D179" s="332"/>
      <c r="E179" s="303">
        <f t="shared" ref="E179:M179" si="200">SUM(E176:E178)</f>
        <v>20836</v>
      </c>
      <c r="F179" s="303">
        <f t="shared" si="200"/>
        <v>5000</v>
      </c>
      <c r="G179" s="303">
        <f t="shared" si="200"/>
        <v>15836</v>
      </c>
      <c r="H179" s="303">
        <f t="shared" si="200"/>
        <v>64653</v>
      </c>
      <c r="I179" s="303">
        <f t="shared" si="200"/>
        <v>62345</v>
      </c>
      <c r="J179" s="303">
        <f t="shared" si="200"/>
        <v>2308</v>
      </c>
      <c r="K179" s="341">
        <f t="shared" si="200"/>
        <v>85489</v>
      </c>
      <c r="L179" s="303">
        <f t="shared" si="200"/>
        <v>67345</v>
      </c>
      <c r="M179" s="304">
        <f t="shared" si="200"/>
        <v>18144</v>
      </c>
    </row>
    <row r="180" spans="1:13" ht="13.5" thickBot="1" x14ac:dyDescent="0.25">
      <c r="A180" s="306"/>
      <c r="B180" s="305"/>
      <c r="C180" s="306"/>
      <c r="D180" s="333"/>
      <c r="E180" s="307"/>
      <c r="F180" s="307"/>
      <c r="G180" s="307"/>
      <c r="H180" s="307"/>
      <c r="I180" s="307"/>
      <c r="J180" s="307"/>
      <c r="K180" s="343"/>
      <c r="L180" s="307"/>
      <c r="M180" s="344"/>
    </row>
    <row r="181" spans="1:13" ht="14.25" thickTop="1" thickBot="1" x14ac:dyDescent="0.25">
      <c r="A181" s="337" t="s">
        <v>191</v>
      </c>
      <c r="B181" s="313"/>
      <c r="C181" s="313"/>
      <c r="D181" s="338"/>
      <c r="E181" s="314">
        <f>+E169+E174+E179</f>
        <v>578885</v>
      </c>
      <c r="F181" s="314">
        <f>+F169+F174+F179</f>
        <v>559785</v>
      </c>
      <c r="G181" s="314">
        <f>+G179+G174+G169</f>
        <v>19100</v>
      </c>
      <c r="H181" s="314">
        <f>+H174+H179+H169</f>
        <v>81063</v>
      </c>
      <c r="I181" s="314">
        <f>+I174+I179+I169</f>
        <v>73755</v>
      </c>
      <c r="J181" s="314">
        <f>+J174+J179+J169</f>
        <v>7308</v>
      </c>
      <c r="K181" s="350">
        <f>+K169+K174+K179</f>
        <v>659948</v>
      </c>
      <c r="L181" s="314">
        <f>+L169+L174+L179</f>
        <v>633540</v>
      </c>
      <c r="M181" s="351">
        <f>+M169+M174+M179</f>
        <v>26408</v>
      </c>
    </row>
    <row r="182" spans="1:13" ht="13.5" thickTop="1" x14ac:dyDescent="0.2">
      <c r="A182" s="318"/>
      <c r="B182" s="319"/>
      <c r="C182" s="319"/>
      <c r="D182" s="340"/>
      <c r="E182" s="320"/>
      <c r="F182" s="320"/>
      <c r="G182" s="320"/>
      <c r="H182" s="320"/>
      <c r="I182" s="320"/>
      <c r="J182" s="320"/>
      <c r="K182" s="355"/>
      <c r="L182" s="320"/>
      <c r="M182" s="356"/>
    </row>
    <row r="183" spans="1:13" x14ac:dyDescent="0.2">
      <c r="A183" s="299" t="str">
        <f>MID(C183,1,1)</f>
        <v>6</v>
      </c>
      <c r="B183" s="299" t="str">
        <f>MID(C183,1,2)</f>
        <v>61</v>
      </c>
      <c r="C183" s="299">
        <v>6112</v>
      </c>
      <c r="D183" s="226" t="s">
        <v>281</v>
      </c>
      <c r="E183" s="300">
        <f>+F183+G183</f>
        <v>218812</v>
      </c>
      <c r="F183" s="300">
        <v>50400</v>
      </c>
      <c r="G183" s="300">
        <v>168412</v>
      </c>
      <c r="H183" s="300"/>
      <c r="I183" s="300"/>
      <c r="J183" s="300"/>
      <c r="K183" s="352">
        <f t="shared" ref="K183:K184" si="201">+L183+M183</f>
        <v>218812</v>
      </c>
      <c r="L183" s="300">
        <f t="shared" ref="L183:L185" si="202">+F183+I183</f>
        <v>50400</v>
      </c>
      <c r="M183" s="328">
        <f t="shared" ref="M183:M185" si="203">+G183+J183</f>
        <v>168412</v>
      </c>
    </row>
    <row r="184" spans="1:13" x14ac:dyDescent="0.2">
      <c r="A184" s="299" t="str">
        <f>MID(C184,1,1)</f>
        <v>6</v>
      </c>
      <c r="B184" s="299" t="str">
        <f>MID(C184,1,2)</f>
        <v>61</v>
      </c>
      <c r="C184" s="299">
        <v>6113</v>
      </c>
      <c r="D184" s="226" t="s">
        <v>459</v>
      </c>
      <c r="E184" s="300">
        <f>+F184+G184</f>
        <v>130</v>
      </c>
      <c r="F184" s="300"/>
      <c r="G184" s="300">
        <v>130</v>
      </c>
      <c r="H184" s="300"/>
      <c r="I184" s="300"/>
      <c r="J184" s="300"/>
      <c r="K184" s="352">
        <f t="shared" si="201"/>
        <v>130</v>
      </c>
      <c r="L184" s="298">
        <f t="shared" ref="L184" si="204">+F184+I184</f>
        <v>0</v>
      </c>
      <c r="M184" s="326">
        <f t="shared" ref="M184" si="205">+G184+J184</f>
        <v>130</v>
      </c>
    </row>
    <row r="185" spans="1:13" x14ac:dyDescent="0.2">
      <c r="A185" s="299" t="str">
        <f>MID(C185,1,1)</f>
        <v>6</v>
      </c>
      <c r="B185" s="299" t="str">
        <f>MID(C185,1,2)</f>
        <v>61</v>
      </c>
      <c r="C185" s="299">
        <v>6117</v>
      </c>
      <c r="D185" s="226" t="s">
        <v>460</v>
      </c>
      <c r="E185" s="300">
        <f>+F185+G185</f>
        <v>130</v>
      </c>
      <c r="F185" s="300"/>
      <c r="G185" s="300">
        <v>130</v>
      </c>
      <c r="H185" s="300"/>
      <c r="I185" s="300"/>
      <c r="J185" s="300"/>
      <c r="K185" s="352">
        <f t="shared" ref="K185" si="206">+L185+M185</f>
        <v>130</v>
      </c>
      <c r="L185" s="298">
        <f t="shared" si="202"/>
        <v>0</v>
      </c>
      <c r="M185" s="326">
        <f t="shared" si="203"/>
        <v>130</v>
      </c>
    </row>
    <row r="186" spans="1:13" x14ac:dyDescent="0.2">
      <c r="A186" s="299" t="str">
        <f>MID(C186,1,1)</f>
        <v>6</v>
      </c>
      <c r="B186" s="299" t="str">
        <f>MID(C186,1,2)</f>
        <v>61</v>
      </c>
      <c r="C186" s="299">
        <v>6171</v>
      </c>
      <c r="D186" s="226" t="s">
        <v>192</v>
      </c>
      <c r="E186" s="298">
        <f>+F186+G186</f>
        <v>2427871</v>
      </c>
      <c r="F186" s="300">
        <v>1434826</v>
      </c>
      <c r="G186" s="300">
        <v>993045</v>
      </c>
      <c r="H186" s="300">
        <f>+I186+J186</f>
        <v>177532</v>
      </c>
      <c r="I186" s="300">
        <v>110157</v>
      </c>
      <c r="J186" s="300">
        <v>67375</v>
      </c>
      <c r="K186" s="342">
        <f>+L186+M186</f>
        <v>2605403</v>
      </c>
      <c r="L186" s="298">
        <f t="shared" ref="L186:M186" si="207">+F186+I186</f>
        <v>1544983</v>
      </c>
      <c r="M186" s="326">
        <f t="shared" si="207"/>
        <v>1060420</v>
      </c>
    </row>
    <row r="187" spans="1:13" x14ac:dyDescent="0.2">
      <c r="A187" s="301" t="s">
        <v>406</v>
      </c>
      <c r="B187" s="301"/>
      <c r="C187" s="302"/>
      <c r="D187" s="332"/>
      <c r="E187" s="303">
        <f>SUM(E183:E186)</f>
        <v>2646943</v>
      </c>
      <c r="F187" s="303">
        <f>SUM(F183:F186)</f>
        <v>1485226</v>
      </c>
      <c r="G187" s="303">
        <f>SUM(G183:G186)</f>
        <v>1161717</v>
      </c>
      <c r="H187" s="303">
        <f>SUM(H183:H186)</f>
        <v>177532</v>
      </c>
      <c r="I187" s="303">
        <f>SUM(I183:I186)</f>
        <v>110157</v>
      </c>
      <c r="J187" s="303">
        <f>SUM(J186:J186)</f>
        <v>67375</v>
      </c>
      <c r="K187" s="341">
        <f>SUM(K183:K186)</f>
        <v>2824475</v>
      </c>
      <c r="L187" s="303">
        <f>SUM(L183:L186)</f>
        <v>1595383</v>
      </c>
      <c r="M187" s="304">
        <f>SUM(M183:M186)</f>
        <v>1229092</v>
      </c>
    </row>
    <row r="188" spans="1:13" x14ac:dyDescent="0.2">
      <c r="A188" s="299"/>
      <c r="B188" s="311"/>
      <c r="C188" s="299"/>
      <c r="D188" s="226"/>
      <c r="E188" s="312"/>
      <c r="F188" s="312"/>
      <c r="G188" s="312"/>
      <c r="H188" s="312"/>
      <c r="I188" s="312"/>
      <c r="J188" s="312"/>
      <c r="K188" s="349"/>
      <c r="L188" s="312"/>
      <c r="M188" s="327"/>
    </row>
    <row r="189" spans="1:13" x14ac:dyDescent="0.2">
      <c r="A189" s="299" t="str">
        <f>MID(C189,1,1)</f>
        <v>6</v>
      </c>
      <c r="B189" s="299" t="str">
        <f>MID(C189,1,2)</f>
        <v>62</v>
      </c>
      <c r="C189" s="299">
        <v>6211</v>
      </c>
      <c r="D189" s="226" t="s">
        <v>282</v>
      </c>
      <c r="E189" s="298">
        <f>+F189+G189</f>
        <v>7532</v>
      </c>
      <c r="F189" s="300">
        <v>7532</v>
      </c>
      <c r="G189" s="300"/>
      <c r="H189" s="300">
        <f>+I189+J189</f>
        <v>3039</v>
      </c>
      <c r="I189" s="300">
        <v>3039</v>
      </c>
      <c r="J189" s="300"/>
      <c r="K189" s="342">
        <f t="shared" ref="K189:K190" si="208">+L189+M189</f>
        <v>10571</v>
      </c>
      <c r="L189" s="298">
        <f t="shared" ref="L189:M190" si="209">+F189+I189</f>
        <v>10571</v>
      </c>
      <c r="M189" s="326">
        <f t="shared" si="209"/>
        <v>0</v>
      </c>
    </row>
    <row r="190" spans="1:13" x14ac:dyDescent="0.2">
      <c r="A190" s="299" t="str">
        <f>MID(C190,1,1)</f>
        <v>6</v>
      </c>
      <c r="B190" s="299" t="str">
        <f>MID(C190,1,2)</f>
        <v>62</v>
      </c>
      <c r="C190" s="299">
        <v>6223</v>
      </c>
      <c r="D190" s="226" t="s">
        <v>283</v>
      </c>
      <c r="E190" s="298">
        <f>+F190+G190</f>
        <v>10424</v>
      </c>
      <c r="F190" s="300">
        <v>10394</v>
      </c>
      <c r="G190" s="300">
        <v>30</v>
      </c>
      <c r="H190" s="300">
        <f>+I190+J190</f>
        <v>0</v>
      </c>
      <c r="I190" s="300"/>
      <c r="J190" s="300"/>
      <c r="K190" s="342">
        <f t="shared" si="208"/>
        <v>10424</v>
      </c>
      <c r="L190" s="298">
        <f t="shared" si="209"/>
        <v>10394</v>
      </c>
      <c r="M190" s="326">
        <f t="shared" si="209"/>
        <v>30</v>
      </c>
    </row>
    <row r="191" spans="1:13" x14ac:dyDescent="0.2">
      <c r="A191" s="301" t="s">
        <v>194</v>
      </c>
      <c r="B191" s="301"/>
      <c r="C191" s="302"/>
      <c r="D191" s="332"/>
      <c r="E191" s="303">
        <f t="shared" ref="E191:M191" si="210">SUM(E189:E190)</f>
        <v>17956</v>
      </c>
      <c r="F191" s="303">
        <f t="shared" si="210"/>
        <v>17926</v>
      </c>
      <c r="G191" s="303">
        <f t="shared" si="210"/>
        <v>30</v>
      </c>
      <c r="H191" s="303">
        <f t="shared" si="210"/>
        <v>3039</v>
      </c>
      <c r="I191" s="303">
        <f t="shared" si="210"/>
        <v>3039</v>
      </c>
      <c r="J191" s="303">
        <f t="shared" si="210"/>
        <v>0</v>
      </c>
      <c r="K191" s="341">
        <f t="shared" si="210"/>
        <v>20995</v>
      </c>
      <c r="L191" s="303">
        <f t="shared" si="210"/>
        <v>20965</v>
      </c>
      <c r="M191" s="304">
        <f t="shared" si="210"/>
        <v>30</v>
      </c>
    </row>
    <row r="192" spans="1:13" x14ac:dyDescent="0.2">
      <c r="A192" s="299"/>
      <c r="B192" s="311"/>
      <c r="C192" s="299"/>
      <c r="D192" s="226"/>
      <c r="E192" s="312"/>
      <c r="F192" s="312"/>
      <c r="G192" s="312"/>
      <c r="H192" s="312"/>
      <c r="I192" s="312"/>
      <c r="J192" s="312"/>
      <c r="K192" s="349"/>
      <c r="L192" s="312"/>
      <c r="M192" s="327"/>
    </row>
    <row r="193" spans="1:13" x14ac:dyDescent="0.2">
      <c r="A193" s="299" t="str">
        <f>MID(C193,1,1)</f>
        <v>6</v>
      </c>
      <c r="B193" s="299" t="str">
        <f>MID(C193,1,2)</f>
        <v>63</v>
      </c>
      <c r="C193" s="299">
        <v>6310</v>
      </c>
      <c r="D193" s="226" t="s">
        <v>195</v>
      </c>
      <c r="E193" s="298">
        <f>+F193+G193</f>
        <v>393266</v>
      </c>
      <c r="F193" s="300">
        <v>391140</v>
      </c>
      <c r="G193" s="300">
        <v>2126</v>
      </c>
      <c r="H193" s="300">
        <f>+I193+J193</f>
        <v>0</v>
      </c>
      <c r="I193" s="300"/>
      <c r="J193" s="300"/>
      <c r="K193" s="342">
        <f t="shared" ref="K193:K196" si="211">+L193+M193</f>
        <v>393266</v>
      </c>
      <c r="L193" s="298">
        <f t="shared" ref="L193:M196" si="212">+F193+I193</f>
        <v>391140</v>
      </c>
      <c r="M193" s="326">
        <f t="shared" si="212"/>
        <v>2126</v>
      </c>
    </row>
    <row r="194" spans="1:13" x14ac:dyDescent="0.2">
      <c r="A194" s="299" t="str">
        <f>MID(C194,1,1)</f>
        <v>6</v>
      </c>
      <c r="B194" s="299" t="str">
        <f>MID(C194,1,2)</f>
        <v>63</v>
      </c>
      <c r="C194" s="299">
        <v>6320</v>
      </c>
      <c r="D194" s="226" t="s">
        <v>284</v>
      </c>
      <c r="E194" s="298">
        <f>+F194+G194</f>
        <v>2287</v>
      </c>
      <c r="F194" s="300"/>
      <c r="G194" s="300">
        <v>2287</v>
      </c>
      <c r="H194" s="300"/>
      <c r="I194" s="300"/>
      <c r="J194" s="300"/>
      <c r="K194" s="342">
        <f t="shared" si="211"/>
        <v>2287</v>
      </c>
      <c r="L194" s="298">
        <f t="shared" si="212"/>
        <v>0</v>
      </c>
      <c r="M194" s="326">
        <f t="shared" si="212"/>
        <v>2287</v>
      </c>
    </row>
    <row r="195" spans="1:13" ht="15" x14ac:dyDescent="0.2">
      <c r="A195" s="299" t="str">
        <f>MID(C195,1,1)</f>
        <v>6</v>
      </c>
      <c r="B195" s="299" t="str">
        <f>MID(C195,1,2)</f>
        <v>63</v>
      </c>
      <c r="C195" s="299">
        <v>6330</v>
      </c>
      <c r="D195" s="226" t="s">
        <v>297</v>
      </c>
      <c r="E195" s="298">
        <f>+F195+G195-2336893-52150-580</f>
        <v>15300</v>
      </c>
      <c r="F195" s="300">
        <v>2336893</v>
      </c>
      <c r="G195" s="300">
        <v>68030</v>
      </c>
      <c r="H195" s="300">
        <f>+I195+J195-252133</f>
        <v>0</v>
      </c>
      <c r="I195" s="300">
        <v>252133</v>
      </c>
      <c r="J195" s="300"/>
      <c r="K195" s="342">
        <f>+L195+M195-2336893-252133-52150-580</f>
        <v>15300</v>
      </c>
      <c r="L195" s="298">
        <f t="shared" si="212"/>
        <v>2589026</v>
      </c>
      <c r="M195" s="326">
        <f t="shared" si="212"/>
        <v>68030</v>
      </c>
    </row>
    <row r="196" spans="1:13" x14ac:dyDescent="0.2">
      <c r="A196" s="299" t="str">
        <f>MID(C196,1,1)</f>
        <v>6</v>
      </c>
      <c r="B196" s="299" t="str">
        <f>MID(C196,1,2)</f>
        <v>63</v>
      </c>
      <c r="C196" s="299">
        <v>6399</v>
      </c>
      <c r="D196" s="226" t="s">
        <v>285</v>
      </c>
      <c r="E196" s="298">
        <f>+F196+G196</f>
        <v>274087</v>
      </c>
      <c r="F196" s="300">
        <v>250000</v>
      </c>
      <c r="G196" s="300">
        <v>24087</v>
      </c>
      <c r="H196" s="300"/>
      <c r="I196" s="300"/>
      <c r="J196" s="300"/>
      <c r="K196" s="342">
        <f t="shared" si="211"/>
        <v>274087</v>
      </c>
      <c r="L196" s="298">
        <f t="shared" si="212"/>
        <v>250000</v>
      </c>
      <c r="M196" s="326">
        <f t="shared" si="212"/>
        <v>24087</v>
      </c>
    </row>
    <row r="197" spans="1:13" x14ac:dyDescent="0.2">
      <c r="A197" s="301" t="s">
        <v>196</v>
      </c>
      <c r="B197" s="301"/>
      <c r="C197" s="302"/>
      <c r="D197" s="332"/>
      <c r="E197" s="303">
        <f>SUM(E193:E196)</f>
        <v>684940</v>
      </c>
      <c r="F197" s="303">
        <f>SUM(F193:F196)</f>
        <v>2978033</v>
      </c>
      <c r="G197" s="303">
        <f>SUM(G193:G196)</f>
        <v>96530</v>
      </c>
      <c r="H197" s="303">
        <f>SUM(H193:H196)</f>
        <v>0</v>
      </c>
      <c r="I197" s="303">
        <f t="shared" ref="I197:J197" si="213">SUM(I193:I196)</f>
        <v>252133</v>
      </c>
      <c r="J197" s="303">
        <f t="shared" si="213"/>
        <v>0</v>
      </c>
      <c r="K197" s="341">
        <f>SUM(K193:K196)</f>
        <v>684940</v>
      </c>
      <c r="L197" s="303">
        <f>SUM(L193:L196)</f>
        <v>3230166</v>
      </c>
      <c r="M197" s="304">
        <f>SUM(M193:M196)</f>
        <v>96530</v>
      </c>
    </row>
    <row r="198" spans="1:13" x14ac:dyDescent="0.2">
      <c r="A198" s="299"/>
      <c r="B198" s="311"/>
      <c r="C198" s="299"/>
      <c r="D198" s="226"/>
      <c r="E198" s="312"/>
      <c r="F198" s="312"/>
      <c r="G198" s="312"/>
      <c r="H198" s="312"/>
      <c r="I198" s="312"/>
      <c r="J198" s="312"/>
      <c r="K198" s="349"/>
      <c r="L198" s="312"/>
      <c r="M198" s="327"/>
    </row>
    <row r="199" spans="1:13" x14ac:dyDescent="0.2">
      <c r="A199" s="299" t="str">
        <f>MID(C199,1,1)</f>
        <v>6</v>
      </c>
      <c r="B199" s="299" t="str">
        <f>MID(C199,1,2)</f>
        <v>64</v>
      </c>
      <c r="C199" s="299">
        <v>6409</v>
      </c>
      <c r="D199" s="226" t="s">
        <v>286</v>
      </c>
      <c r="E199" s="298">
        <f>+F199+G199</f>
        <v>295672</v>
      </c>
      <c r="F199" s="300">
        <v>135633</v>
      </c>
      <c r="G199" s="300">
        <v>160039</v>
      </c>
      <c r="H199" s="298">
        <f>+I199+J199</f>
        <v>356</v>
      </c>
      <c r="I199" s="300"/>
      <c r="J199" s="300">
        <v>356</v>
      </c>
      <c r="K199" s="352">
        <f>+L199+M199</f>
        <v>296028</v>
      </c>
      <c r="L199" s="300">
        <f>+F199+I199</f>
        <v>135633</v>
      </c>
      <c r="M199" s="328">
        <f>+G199+J199</f>
        <v>160395</v>
      </c>
    </row>
    <row r="200" spans="1:13" x14ac:dyDescent="0.2">
      <c r="A200" s="301" t="s">
        <v>287</v>
      </c>
      <c r="B200" s="301"/>
      <c r="C200" s="302"/>
      <c r="D200" s="332"/>
      <c r="E200" s="303">
        <f t="shared" ref="E200:M200" si="214">SUM(E199:E199)</f>
        <v>295672</v>
      </c>
      <c r="F200" s="303">
        <f t="shared" si="214"/>
        <v>135633</v>
      </c>
      <c r="G200" s="303">
        <f t="shared" si="214"/>
        <v>160039</v>
      </c>
      <c r="H200" s="303">
        <f t="shared" si="214"/>
        <v>356</v>
      </c>
      <c r="I200" s="303">
        <f t="shared" si="214"/>
        <v>0</v>
      </c>
      <c r="J200" s="303">
        <f t="shared" si="214"/>
        <v>356</v>
      </c>
      <c r="K200" s="341">
        <f t="shared" si="214"/>
        <v>296028</v>
      </c>
      <c r="L200" s="303">
        <f t="shared" si="214"/>
        <v>135633</v>
      </c>
      <c r="M200" s="304">
        <f t="shared" si="214"/>
        <v>160395</v>
      </c>
    </row>
    <row r="201" spans="1:13" ht="13.5" thickBot="1" x14ac:dyDescent="0.25">
      <c r="A201" s="306"/>
      <c r="B201" s="305"/>
      <c r="C201" s="306"/>
      <c r="D201" s="333"/>
      <c r="E201" s="307"/>
      <c r="F201" s="307"/>
      <c r="G201" s="307"/>
      <c r="H201" s="307"/>
      <c r="I201" s="307"/>
      <c r="J201" s="307"/>
      <c r="K201" s="307"/>
      <c r="L201" s="307"/>
      <c r="M201" s="307"/>
    </row>
    <row r="202" spans="1:13" ht="14.25" thickTop="1" thickBot="1" x14ac:dyDescent="0.25">
      <c r="A202" s="321" t="s">
        <v>197</v>
      </c>
      <c r="B202" s="308"/>
      <c r="C202" s="308"/>
      <c r="D202" s="334"/>
      <c r="E202" s="309">
        <f>+E187+E191+E197+E200</f>
        <v>3645511</v>
      </c>
      <c r="F202" s="309">
        <f>+F187+F191+F197+F200</f>
        <v>4616818</v>
      </c>
      <c r="G202" s="309">
        <f>+G200+G197+G191+G187</f>
        <v>1418316</v>
      </c>
      <c r="H202" s="309">
        <f t="shared" ref="H202:M202" si="215">+H187+H191+H197+H200</f>
        <v>180927</v>
      </c>
      <c r="I202" s="309">
        <f t="shared" si="215"/>
        <v>365329</v>
      </c>
      <c r="J202" s="309">
        <f t="shared" si="215"/>
        <v>67731</v>
      </c>
      <c r="K202" s="309">
        <f t="shared" si="215"/>
        <v>3826438</v>
      </c>
      <c r="L202" s="309">
        <f t="shared" si="215"/>
        <v>4982147</v>
      </c>
      <c r="M202" s="309">
        <f t="shared" si="215"/>
        <v>1486047</v>
      </c>
    </row>
    <row r="203" spans="1:13" ht="14.25" thickTop="1" thickBot="1" x14ac:dyDescent="0.25">
      <c r="A203" s="318"/>
      <c r="B203" s="319"/>
      <c r="C203" s="319"/>
      <c r="D203" s="340"/>
      <c r="E203" s="320"/>
      <c r="F203" s="320"/>
      <c r="G203" s="320"/>
      <c r="H203" s="320"/>
      <c r="I203" s="320"/>
      <c r="J203" s="320"/>
      <c r="K203" s="320"/>
      <c r="L203" s="320"/>
      <c r="M203" s="320"/>
    </row>
    <row r="204" spans="1:13" ht="17.25" customHeight="1" thickTop="1" thickBot="1" x14ac:dyDescent="0.3">
      <c r="A204" s="357" t="s">
        <v>298</v>
      </c>
      <c r="B204" s="322"/>
      <c r="C204" s="322"/>
      <c r="D204" s="358"/>
      <c r="E204" s="323">
        <f>+E202+E181+E162+E143+E49+E15</f>
        <v>14553881</v>
      </c>
      <c r="F204" s="323">
        <f>+F202+F181+F162+F143+F49+F15</f>
        <v>13793467</v>
      </c>
      <c r="G204" s="323">
        <f>+G202+G181+G162+G143+G49+G15</f>
        <v>3150037</v>
      </c>
      <c r="H204" s="323">
        <f>+H202+H181+H162+H143+H49+H15</f>
        <v>6851816</v>
      </c>
      <c r="I204" s="323">
        <f>I15+I49+I143+I162+I181+I202</f>
        <v>5654383</v>
      </c>
      <c r="J204" s="323">
        <f>+J202+J181+J162+J143+J49+J15</f>
        <v>1449566</v>
      </c>
      <c r="K204" s="323">
        <f>+K202+K181+K162+K143+K49+K15</f>
        <v>21405697</v>
      </c>
      <c r="L204" s="323">
        <f>+L202+L181+L162+L143+L49+L15</f>
        <v>19447850</v>
      </c>
      <c r="M204" s="323">
        <f>+M202+M181+M162+M143+M49+M15</f>
        <v>4599603</v>
      </c>
    </row>
    <row r="205" spans="1:13" ht="11.25" customHeight="1" thickTop="1" x14ac:dyDescent="0.2">
      <c r="G205" s="295"/>
      <c r="H205" s="295"/>
      <c r="I205" s="295"/>
      <c r="J205" s="295"/>
      <c r="L205" s="295"/>
    </row>
    <row r="206" spans="1:13" x14ac:dyDescent="0.2">
      <c r="A206" s="292" t="s">
        <v>122</v>
      </c>
      <c r="F206" s="295"/>
      <c r="G206" s="295"/>
      <c r="H206" s="295"/>
      <c r="I206" s="295"/>
      <c r="J206" s="295"/>
      <c r="K206" s="295"/>
      <c r="M206" s="295"/>
    </row>
    <row r="207" spans="1:13" x14ac:dyDescent="0.2">
      <c r="F207" s="295"/>
      <c r="G207" s="295"/>
      <c r="H207" s="295"/>
      <c r="I207" s="295"/>
      <c r="K207" s="295"/>
      <c r="L207" s="295"/>
    </row>
    <row r="208" spans="1:13" x14ac:dyDescent="0.2">
      <c r="G208" s="295"/>
      <c r="I208" s="295"/>
    </row>
    <row r="209" spans="7:8" x14ac:dyDescent="0.2">
      <c r="G209" s="295"/>
    </row>
    <row r="210" spans="7:8" x14ac:dyDescent="0.2">
      <c r="G210" s="295"/>
      <c r="H210" s="295"/>
    </row>
    <row r="211" spans="7:8" x14ac:dyDescent="0.2">
      <c r="G211" s="295"/>
    </row>
    <row r="212" spans="7:8" x14ac:dyDescent="0.2">
      <c r="G212" s="295"/>
    </row>
    <row r="213" spans="7:8" x14ac:dyDescent="0.2">
      <c r="G213" s="295"/>
    </row>
    <row r="214" spans="7:8" x14ac:dyDescent="0.2">
      <c r="G214" s="295"/>
    </row>
    <row r="215" spans="7:8" x14ac:dyDescent="0.2">
      <c r="G215" s="295"/>
    </row>
    <row r="216" spans="7:8" x14ac:dyDescent="0.2">
      <c r="G216" s="295"/>
    </row>
    <row r="217" spans="7:8" x14ac:dyDescent="0.2">
      <c r="G217" s="295"/>
    </row>
    <row r="218" spans="7:8" x14ac:dyDescent="0.2">
      <c r="G218" s="295"/>
    </row>
    <row r="219" spans="7:8" x14ac:dyDescent="0.2">
      <c r="G219" s="295"/>
    </row>
    <row r="220" spans="7:8" x14ac:dyDescent="0.2">
      <c r="G220" s="295"/>
    </row>
    <row r="221" spans="7:8" x14ac:dyDescent="0.2">
      <c r="G221" s="295"/>
    </row>
    <row r="222" spans="7:8" x14ac:dyDescent="0.2">
      <c r="G222" s="295"/>
    </row>
    <row r="223" spans="7:8" x14ac:dyDescent="0.2">
      <c r="G223" s="295"/>
    </row>
    <row r="224" spans="7:8" x14ac:dyDescent="0.2">
      <c r="G224" s="295"/>
    </row>
    <row r="225" spans="7:7" x14ac:dyDescent="0.2">
      <c r="G225" s="295"/>
    </row>
    <row r="226" spans="7:7" x14ac:dyDescent="0.2">
      <c r="G226" s="295"/>
    </row>
    <row r="227" spans="7:7" x14ac:dyDescent="0.2">
      <c r="G227" s="295"/>
    </row>
    <row r="228" spans="7:7" x14ac:dyDescent="0.2">
      <c r="G228" s="295"/>
    </row>
    <row r="229" spans="7:7" x14ac:dyDescent="0.2">
      <c r="G229" s="295"/>
    </row>
    <row r="230" spans="7:7" x14ac:dyDescent="0.2">
      <c r="G230" s="295"/>
    </row>
    <row r="231" spans="7:7" x14ac:dyDescent="0.2">
      <c r="G231" s="295"/>
    </row>
    <row r="232" spans="7:7" x14ac:dyDescent="0.2">
      <c r="G232" s="295"/>
    </row>
    <row r="233" spans="7:7" x14ac:dyDescent="0.2">
      <c r="G233" s="295"/>
    </row>
    <row r="234" spans="7:7" x14ac:dyDescent="0.2">
      <c r="G234" s="295"/>
    </row>
    <row r="235" spans="7:7" x14ac:dyDescent="0.2">
      <c r="G235" s="295"/>
    </row>
    <row r="236" spans="7:7" x14ac:dyDescent="0.2">
      <c r="G236" s="295"/>
    </row>
    <row r="237" spans="7:7" x14ac:dyDescent="0.2">
      <c r="G237" s="295"/>
    </row>
    <row r="238" spans="7:7" x14ac:dyDescent="0.2">
      <c r="G238" s="295"/>
    </row>
    <row r="239" spans="7:7" x14ac:dyDescent="0.2">
      <c r="G239" s="295"/>
    </row>
    <row r="240" spans="7:7" x14ac:dyDescent="0.2">
      <c r="G240" s="295"/>
    </row>
    <row r="241" spans="7:7" x14ac:dyDescent="0.2">
      <c r="G241" s="295"/>
    </row>
    <row r="242" spans="7:7" x14ac:dyDescent="0.2">
      <c r="G242" s="295"/>
    </row>
    <row r="243" spans="7:7" x14ac:dyDescent="0.2">
      <c r="G243" s="295"/>
    </row>
    <row r="244" spans="7:7" x14ac:dyDescent="0.2">
      <c r="G244" s="295"/>
    </row>
    <row r="245" spans="7:7" x14ac:dyDescent="0.2">
      <c r="G245" s="295"/>
    </row>
    <row r="246" spans="7:7" x14ac:dyDescent="0.2">
      <c r="G246" s="295"/>
    </row>
    <row r="247" spans="7:7" x14ac:dyDescent="0.2">
      <c r="G247" s="295"/>
    </row>
    <row r="248" spans="7:7" x14ac:dyDescent="0.2">
      <c r="G248" s="295"/>
    </row>
    <row r="249" spans="7:7" x14ac:dyDescent="0.2">
      <c r="G249" s="295"/>
    </row>
    <row r="250" spans="7:7" x14ac:dyDescent="0.2">
      <c r="G250" s="295"/>
    </row>
    <row r="251" spans="7:7" x14ac:dyDescent="0.2">
      <c r="G251" s="295"/>
    </row>
    <row r="252" spans="7:7" x14ac:dyDescent="0.2">
      <c r="G252" s="295"/>
    </row>
    <row r="253" spans="7:7" x14ac:dyDescent="0.2">
      <c r="G253" s="295"/>
    </row>
    <row r="254" spans="7:7" x14ac:dyDescent="0.2">
      <c r="G254" s="295"/>
    </row>
    <row r="255" spans="7:7" x14ac:dyDescent="0.2">
      <c r="G255" s="295"/>
    </row>
    <row r="256" spans="7:7" x14ac:dyDescent="0.2">
      <c r="G256" s="295"/>
    </row>
    <row r="257" spans="7:7" x14ac:dyDescent="0.2">
      <c r="G257" s="295"/>
    </row>
    <row r="258" spans="7:7" x14ac:dyDescent="0.2">
      <c r="G258" s="295"/>
    </row>
    <row r="259" spans="7:7" x14ac:dyDescent="0.2">
      <c r="G259" s="295"/>
    </row>
    <row r="260" spans="7:7" x14ac:dyDescent="0.2">
      <c r="G260" s="295"/>
    </row>
    <row r="261" spans="7:7" x14ac:dyDescent="0.2">
      <c r="G261" s="295"/>
    </row>
    <row r="262" spans="7:7" x14ac:dyDescent="0.2">
      <c r="G262" s="295"/>
    </row>
    <row r="263" spans="7:7" x14ac:dyDescent="0.2">
      <c r="G263" s="295"/>
    </row>
    <row r="264" spans="7:7" x14ac:dyDescent="0.2">
      <c r="G264" s="295"/>
    </row>
    <row r="265" spans="7:7" x14ac:dyDescent="0.2">
      <c r="G265" s="295"/>
    </row>
    <row r="266" spans="7:7" x14ac:dyDescent="0.2">
      <c r="G266" s="295"/>
    </row>
    <row r="267" spans="7:7" x14ac:dyDescent="0.2">
      <c r="G267" s="295"/>
    </row>
    <row r="268" spans="7:7" x14ac:dyDescent="0.2">
      <c r="G268" s="295"/>
    </row>
    <row r="269" spans="7:7" x14ac:dyDescent="0.2">
      <c r="G269" s="295"/>
    </row>
    <row r="270" spans="7:7" x14ac:dyDescent="0.2">
      <c r="G270" s="295"/>
    </row>
    <row r="271" spans="7:7" x14ac:dyDescent="0.2">
      <c r="G271" s="295"/>
    </row>
    <row r="272" spans="7:7" x14ac:dyDescent="0.2">
      <c r="G272" s="295"/>
    </row>
    <row r="273" spans="7:7" x14ac:dyDescent="0.2">
      <c r="G273" s="295"/>
    </row>
    <row r="274" spans="7:7" x14ac:dyDescent="0.2">
      <c r="G274" s="295"/>
    </row>
    <row r="275" spans="7:7" x14ac:dyDescent="0.2">
      <c r="G275" s="295"/>
    </row>
    <row r="276" spans="7:7" x14ac:dyDescent="0.2">
      <c r="G276" s="295"/>
    </row>
    <row r="277" spans="7:7" x14ac:dyDescent="0.2">
      <c r="G277" s="295"/>
    </row>
    <row r="278" spans="7:7" x14ac:dyDescent="0.2">
      <c r="G278" s="295"/>
    </row>
    <row r="279" spans="7:7" x14ac:dyDescent="0.2">
      <c r="G279" s="295"/>
    </row>
    <row r="280" spans="7:7" x14ac:dyDescent="0.2">
      <c r="G280" s="295"/>
    </row>
    <row r="281" spans="7:7" x14ac:dyDescent="0.2">
      <c r="G281" s="295"/>
    </row>
    <row r="282" spans="7:7" x14ac:dyDescent="0.2">
      <c r="G282" s="295"/>
    </row>
    <row r="283" spans="7:7" x14ac:dyDescent="0.2">
      <c r="G283" s="295"/>
    </row>
    <row r="284" spans="7:7" x14ac:dyDescent="0.2">
      <c r="G284" s="295"/>
    </row>
    <row r="285" spans="7:7" x14ac:dyDescent="0.2">
      <c r="G285" s="295"/>
    </row>
    <row r="286" spans="7:7" x14ac:dyDescent="0.2">
      <c r="G286" s="295"/>
    </row>
    <row r="287" spans="7:7" x14ac:dyDescent="0.2">
      <c r="G287" s="295"/>
    </row>
    <row r="288" spans="7:7" x14ac:dyDescent="0.2">
      <c r="G288" s="295"/>
    </row>
    <row r="289" spans="7:7" x14ac:dyDescent="0.2">
      <c r="G289" s="295"/>
    </row>
    <row r="290" spans="7:7" x14ac:dyDescent="0.2">
      <c r="G290" s="295"/>
    </row>
    <row r="291" spans="7:7" x14ac:dyDescent="0.2">
      <c r="G291" s="295"/>
    </row>
    <row r="292" spans="7:7" x14ac:dyDescent="0.2">
      <c r="G292" s="295"/>
    </row>
    <row r="293" spans="7:7" x14ac:dyDescent="0.2">
      <c r="G293" s="295"/>
    </row>
    <row r="294" spans="7:7" x14ac:dyDescent="0.2">
      <c r="G294" s="295"/>
    </row>
    <row r="295" spans="7:7" x14ac:dyDescent="0.2">
      <c r="G295" s="295"/>
    </row>
    <row r="296" spans="7:7" x14ac:dyDescent="0.2">
      <c r="G296" s="295"/>
    </row>
    <row r="297" spans="7:7" x14ac:dyDescent="0.2">
      <c r="G297" s="295"/>
    </row>
    <row r="298" spans="7:7" x14ac:dyDescent="0.2">
      <c r="G298" s="295"/>
    </row>
    <row r="299" spans="7:7" x14ac:dyDescent="0.2">
      <c r="G299" s="295"/>
    </row>
    <row r="300" spans="7:7" x14ac:dyDescent="0.2">
      <c r="G300" s="295"/>
    </row>
    <row r="301" spans="7:7" x14ac:dyDescent="0.2">
      <c r="G301" s="295"/>
    </row>
    <row r="302" spans="7:7" x14ac:dyDescent="0.2">
      <c r="G302" s="295"/>
    </row>
    <row r="303" spans="7:7" x14ac:dyDescent="0.2">
      <c r="G303" s="295"/>
    </row>
    <row r="304" spans="7:7" x14ac:dyDescent="0.2">
      <c r="G304" s="295"/>
    </row>
    <row r="305" spans="7:7" x14ac:dyDescent="0.2">
      <c r="G305" s="295"/>
    </row>
    <row r="306" spans="7:7" x14ac:dyDescent="0.2">
      <c r="G306" s="295"/>
    </row>
    <row r="307" spans="7:7" x14ac:dyDescent="0.2">
      <c r="G307" s="295"/>
    </row>
    <row r="308" spans="7:7" x14ac:dyDescent="0.2">
      <c r="G308" s="295"/>
    </row>
    <row r="309" spans="7:7" x14ac:dyDescent="0.2">
      <c r="G309" s="295"/>
    </row>
    <row r="310" spans="7:7" x14ac:dyDescent="0.2">
      <c r="G310" s="295"/>
    </row>
    <row r="311" spans="7:7" x14ac:dyDescent="0.2">
      <c r="G311" s="295"/>
    </row>
    <row r="312" spans="7:7" x14ac:dyDescent="0.2">
      <c r="G312" s="295"/>
    </row>
    <row r="313" spans="7:7" x14ac:dyDescent="0.2">
      <c r="G313" s="295"/>
    </row>
    <row r="314" spans="7:7" x14ac:dyDescent="0.2">
      <c r="G314" s="295"/>
    </row>
    <row r="315" spans="7:7" x14ac:dyDescent="0.2">
      <c r="G315" s="295"/>
    </row>
    <row r="316" spans="7:7" x14ac:dyDescent="0.2">
      <c r="G316" s="295"/>
    </row>
    <row r="317" spans="7:7" x14ac:dyDescent="0.2">
      <c r="G317" s="295"/>
    </row>
    <row r="318" spans="7:7" x14ac:dyDescent="0.2">
      <c r="G318" s="295"/>
    </row>
    <row r="319" spans="7:7" x14ac:dyDescent="0.2">
      <c r="G319" s="295"/>
    </row>
    <row r="320" spans="7:7" x14ac:dyDescent="0.2">
      <c r="G320" s="295"/>
    </row>
    <row r="321" spans="7:7" x14ac:dyDescent="0.2">
      <c r="G321" s="295"/>
    </row>
    <row r="322" spans="7:7" x14ac:dyDescent="0.2">
      <c r="G322" s="295"/>
    </row>
    <row r="323" spans="7:7" x14ac:dyDescent="0.2">
      <c r="G323" s="295"/>
    </row>
    <row r="324" spans="7:7" x14ac:dyDescent="0.2">
      <c r="G324" s="295"/>
    </row>
    <row r="325" spans="7:7" x14ac:dyDescent="0.2">
      <c r="G325" s="295"/>
    </row>
    <row r="326" spans="7:7" x14ac:dyDescent="0.2">
      <c r="G326" s="295"/>
    </row>
    <row r="327" spans="7:7" x14ac:dyDescent="0.2">
      <c r="G327" s="295"/>
    </row>
    <row r="328" spans="7:7" x14ac:dyDescent="0.2">
      <c r="G328" s="295"/>
    </row>
    <row r="329" spans="7:7" x14ac:dyDescent="0.2">
      <c r="G329" s="295"/>
    </row>
    <row r="330" spans="7:7" x14ac:dyDescent="0.2">
      <c r="G330" s="295"/>
    </row>
    <row r="331" spans="7:7" x14ac:dyDescent="0.2">
      <c r="G331" s="295"/>
    </row>
    <row r="332" spans="7:7" x14ac:dyDescent="0.2">
      <c r="G332" s="295"/>
    </row>
    <row r="333" spans="7:7" x14ac:dyDescent="0.2">
      <c r="G333" s="295"/>
    </row>
    <row r="334" spans="7:7" x14ac:dyDescent="0.2">
      <c r="G334" s="295"/>
    </row>
    <row r="335" spans="7:7" x14ac:dyDescent="0.2">
      <c r="G335" s="295"/>
    </row>
    <row r="336" spans="7:7" x14ac:dyDescent="0.2">
      <c r="G336" s="295"/>
    </row>
    <row r="337" spans="7:7" x14ac:dyDescent="0.2">
      <c r="G337" s="295"/>
    </row>
    <row r="338" spans="7:7" x14ac:dyDescent="0.2">
      <c r="G338" s="295"/>
    </row>
    <row r="339" spans="7:7" x14ac:dyDescent="0.2">
      <c r="G339" s="295"/>
    </row>
    <row r="340" spans="7:7" x14ac:dyDescent="0.2">
      <c r="G340" s="295"/>
    </row>
    <row r="341" spans="7:7" x14ac:dyDescent="0.2">
      <c r="G341" s="295"/>
    </row>
    <row r="342" spans="7:7" x14ac:dyDescent="0.2">
      <c r="G342" s="295"/>
    </row>
    <row r="343" spans="7:7" x14ac:dyDescent="0.2">
      <c r="G343" s="295"/>
    </row>
    <row r="344" spans="7:7" x14ac:dyDescent="0.2">
      <c r="G344" s="295"/>
    </row>
    <row r="345" spans="7:7" x14ac:dyDescent="0.2">
      <c r="G345" s="295"/>
    </row>
    <row r="346" spans="7:7" x14ac:dyDescent="0.2">
      <c r="G346" s="295"/>
    </row>
    <row r="347" spans="7:7" x14ac:dyDescent="0.2">
      <c r="G347" s="295"/>
    </row>
    <row r="348" spans="7:7" x14ac:dyDescent="0.2">
      <c r="G348" s="295"/>
    </row>
    <row r="349" spans="7:7" x14ac:dyDescent="0.2">
      <c r="G349" s="295"/>
    </row>
    <row r="350" spans="7:7" x14ac:dyDescent="0.2">
      <c r="G350" s="295"/>
    </row>
    <row r="351" spans="7:7" x14ac:dyDescent="0.2">
      <c r="G351" s="295"/>
    </row>
    <row r="352" spans="7:7" x14ac:dyDescent="0.2">
      <c r="G352" s="295"/>
    </row>
    <row r="353" spans="7:7" x14ac:dyDescent="0.2">
      <c r="G353" s="295"/>
    </row>
  </sheetData>
  <mergeCells count="9">
    <mergeCell ref="K4:M4"/>
    <mergeCell ref="A2:M2"/>
    <mergeCell ref="A1:M1"/>
    <mergeCell ref="A4:A5"/>
    <mergeCell ref="B4:B5"/>
    <mergeCell ref="C4:C5"/>
    <mergeCell ref="D4:D5"/>
    <mergeCell ref="E4:G4"/>
    <mergeCell ref="H4:J4"/>
  </mergeCells>
  <printOptions horizontalCentered="1"/>
  <pageMargins left="0.51181102362204722" right="0.55118110236220474" top="0.51" bottom="0.41" header="0.23622047244094491" footer="0.15748031496062992"/>
  <pageSetup paperSize="9" scale="80" fitToHeight="4" orientation="landscape" r:id="rId1"/>
  <headerFooter alignWithMargins="0"/>
  <rowBreaks count="4" manualBreakCount="4">
    <brk id="49" max="12" man="1"/>
    <brk id="93" max="12" man="1"/>
    <brk id="135" max="12" man="1"/>
    <brk id="174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f0e9dffb-10b4-43a2-a71f-636e7749a0ae">11</Rok>
    <Etapa xmlns="f0e9dffb-10b4-43a2-a71f-636e7749a0ae">8</Etapa>
    <_dlc_DocId xmlns="64c94459-a6c5-4cf5-89c0-115a7989494d">MMB0-1401690442-9324</_dlc_DocId>
    <_dlc_DocIdUrl xmlns="64c94459-a6c5-4cf5-89c0-115a7989494d">
      <Url>https://mmbonline.sharepoint.com/ORF/rozpocet/_layouts/15/DocIdRedir.aspx?ID=MMB0-1401690442-9324</Url>
      <Description>MMB0-1401690442-9324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D5FFA1C1171441977E2500F0441769" ma:contentTypeVersion="21" ma:contentTypeDescription="Vytvoří nový dokument" ma:contentTypeScope="" ma:versionID="d19982f85a29f3e81f3037f3e6a4da3f">
  <xsd:schema xmlns:xsd="http://www.w3.org/2001/XMLSchema" xmlns:xs="http://www.w3.org/2001/XMLSchema" xmlns:p="http://schemas.microsoft.com/office/2006/metadata/properties" xmlns:ns2="f0e9dffb-10b4-43a2-a71f-636e7749a0ae" xmlns:ns3="64c94459-a6c5-4cf5-89c0-115a7989494d" xmlns:ns4="107ea3ff-ebed-4698-b54c-04cca22f4541" targetNamespace="http://schemas.microsoft.com/office/2006/metadata/properties" ma:root="true" ma:fieldsID="baeae5e8dea036a9ec441174e5bbb308" ns2:_="" ns3:_="" ns4:_="">
    <xsd:import namespace="f0e9dffb-10b4-43a2-a71f-636e7749a0ae"/>
    <xsd:import namespace="64c94459-a6c5-4cf5-89c0-115a7989494d"/>
    <xsd:import namespace="107ea3ff-ebed-4698-b54c-04cca22f4541"/>
    <xsd:element name="properties">
      <xsd:complexType>
        <xsd:sequence>
          <xsd:element name="documentManagement">
            <xsd:complexType>
              <xsd:all>
                <xsd:element ref="ns2:Rok"/>
                <xsd:element ref="ns2:Etapa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9dffb-10b4-43a2-a71f-636e7749a0ae" elementFormDefault="qualified">
    <xsd:import namespace="http://schemas.microsoft.com/office/2006/documentManagement/types"/>
    <xsd:import namespace="http://schemas.microsoft.com/office/infopath/2007/PartnerControls"/>
    <xsd:element name="Rok" ma:index="2" ma:displayName="Rok NR" ma:list="{09c10422-e8bd-4eab-9f3d-4429a0566d64}" ma:internalName="Rok" ma:readOnly="false" ma:showField="NR_x002d_roky">
      <xsd:simpleType>
        <xsd:restriction base="dms:Lookup"/>
      </xsd:simpleType>
    </xsd:element>
    <xsd:element name="Etapa" ma:index="3" ma:displayName="Etapa" ma:list="{09c10422-e8bd-4eab-9f3d-4429a0566d64}" ma:internalName="Etapa" ma:readOnly="false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94459-a6c5-4cf5-89c0-115a7989494d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ea3ff-ebed-4698-b54c-04cca22f454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83FDE1-3E7F-4551-9EDE-9676F1D828F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C2B2F9E-B407-47B4-947A-7F91CF99E1A8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64c94459-a6c5-4cf5-89c0-115a7989494d"/>
    <ds:schemaRef ds:uri="f0e9dffb-10b4-43a2-a71f-636e7749a0ae"/>
    <ds:schemaRef ds:uri="http://schemas.openxmlformats.org/package/2006/metadata/core-properties"/>
    <ds:schemaRef ds:uri="107ea3ff-ebed-4698-b54c-04cca22f454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EBDF18C-BF8B-4161-8173-CD22F0E8778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BFDB59-B2D9-4DF6-9DAE-A736D4130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e9dffb-10b4-43a2-a71f-636e7749a0ae"/>
    <ds:schemaRef ds:uri="64c94459-a6c5-4cf5-89c0-115a7989494d"/>
    <ds:schemaRef ds:uri="107ea3ff-ebed-4698-b54c-04cca22f45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</vt:lpstr>
      <vt:lpstr>Transfery</vt:lpstr>
      <vt:lpstr>Příjmy</vt:lpstr>
      <vt:lpstr>Graf_prijmy</vt:lpstr>
      <vt:lpstr>Daňové a Transfery</vt:lpstr>
      <vt:lpstr>N a K</vt:lpstr>
      <vt:lpstr>Výdaje</vt:lpstr>
      <vt:lpstr>Grafy_vydaje</vt:lpstr>
      <vt:lpstr>B a K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Grafy_vydaje!Oblast_tisku</vt:lpstr>
      <vt:lpstr>'N a K'!Oblast_tisku</vt:lpstr>
      <vt:lpstr>Příjmy!Oblast_tisku</vt:lpstr>
      <vt:lpstr>Transfery!Oblast_tisku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Trnečka Jiří (MMB_ORF)</cp:lastModifiedBy>
  <cp:lastPrinted>2024-03-25T07:09:24Z</cp:lastPrinted>
  <dcterms:created xsi:type="dcterms:W3CDTF">2016-02-22T09:14:34Z</dcterms:created>
  <dcterms:modified xsi:type="dcterms:W3CDTF">2024-03-25T07:09:27Z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5f662867-fc2d-497b-aeb5-493a7dfa583f</vt:lpwstr>
  </property>
  <property fmtid="{D5CDD505-2E9C-101B-9397-08002B2CF9AE}" pid="3" name="ContentTypeId">
    <vt:lpwstr>0x01010002D5FFA1C1171441977E2500F0441769</vt:lpwstr>
  </property>
</Properties>
</file>